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finitive Budget 2324" sheetId="1" r:id="rId3"/>
    <sheet state="visible" name="Guard fees" sheetId="2" r:id="rId4"/>
    <sheet state="visible" name="VKO New Investments &amp; Depreciat" sheetId="3"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E6">
      <text>
        <t xml:space="preserve">105 000 SEK donation from the President of SSE.
SESUS annual grant approx 85 000 SEK, based on number of members
23/24 Increase due to EQUIS</t>
      </text>
    </comment>
    <comment authorId="0" ref="E7">
      <text>
        <t xml:space="preserve">20/21: lowered as structure of grants has been changed. This is due to lower returns from the Jubilee foundation. Only one grant will be given out to go to Harvard Summer School (85 000 SEK)
23/24 Update after meeting with Förvaltningsrådet</t>
      </text>
    </comment>
    <comment authorId="0" ref="E8">
      <text>
        <t xml:space="preserve">Membership fee Bsc, Msc and RAMP students 400kr/year 
23/24 Increased due to inflation</t>
      </text>
    </comment>
    <comment authorId="0" ref="E9">
      <text>
        <t xml:space="preserve">Membership fee PhD students 400 kr/year 
23/24 Increased to be in line with regular fee (3901)</t>
      </text>
    </comment>
    <comment authorId="0" ref="E10">
      <text>
        <t xml:space="preserve">Annual fee from Swedish program for students.
23/24 Increased in line with member fee</t>
      </text>
    </comment>
    <comment authorId="0" ref="E11">
      <text>
        <t xml:space="preserve">SA membership fees for incoming exchange students. Paid by SSE according to agreement. 399 SEK* 120 students á 2 semesters
23/24 Increase in line with memebers fee</t>
      </text>
    </comment>
    <comment authorId="0" ref="E12">
      <text>
        <t xml:space="preserve">Removed 18/19
23/24 Cost related to EQUIS report and related to 3120 </t>
      </text>
    </comment>
    <comment authorId="0" ref="E13">
      <text>
        <t xml:space="preserve">Insurances (retirement, sickness) for the SASSE Receptionist. 
Moved to 10XX08.
</t>
      </text>
    </comment>
    <comment authorId="0" ref="E14">
      <text>
        <t xml:space="preserve">Education for the SASSE Receptionist in order for her to develop and be a better help to the Board. For example data base or Visma education.
Moved to 10XX08.
</t>
      </text>
    </comment>
    <comment authorId="0" ref="E15">
      <text>
        <t xml:space="preserve">Fee for participating in SSCO, 15 kr * 1900 members
22/23 Increased due to more members
</t>
      </text>
    </comment>
    <comment authorId="0" ref="E16">
      <text>
        <t xml:space="preserve">21 000 SEK * 12 months * 1,3142 [for social fees] + 7000 for vacation pay (SV semesterlön/semestertillägg)
Moved to 10XX08.
</t>
      </text>
    </comment>
    <comment authorId="0" ref="E20">
      <text>
        <t xml:space="preserve">Ticket revenue for events with previous SASSE Boards, e.g. Fyrverkeriet last 4 SASSE boards. About 30 people pays
</t>
      </text>
    </comment>
    <comment authorId="0" ref="E21">
      <text>
        <t xml:space="preserve">After a year, the value of the working clothes purchased with clothing grant is estimated to be approx 10% of its original value. If a Board member wishes to, he/she may buy the working clothes at the end of the year at 10% of the purchase price. Othervise the cloths needs to be handed back to SASSE. </t>
      </text>
    </comment>
    <comment authorId="0" ref="E22">
      <text>
        <t xml:space="preserve">Gifts when representing SASSE.
2 * 295 SEK should be used for prize tickets for the summer party connected to the SASSE Survey
23/24 Increased due to Summer party ticket price</t>
      </text>
    </comment>
    <comment authorId="0" ref="E23">
      <text>
        <t xml:space="preserve">3000 for Coffee for an opponion or similar event. 
2000 can be for interviews or tenta fikas
</t>
      </text>
    </comment>
    <comment authorId="0" ref="E24">
      <text>
        <t xml:space="preserve">The Board's initiatives during the year. To be able to finance initiatives that the SASSE Board members come up with along the way. Initiatives that add a great amount of value and student benefit towards our members. 
</t>
      </text>
    </comment>
    <comment authorId="0" ref="E25">
      <text>
        <t xml:space="preserve">For meetings and relations with previous SASSE Board such as "Fyrverkeriet", dippen and workshops with previous boards
Workshops with previous boards: 
4 000
Dippen: 5 000
Fyrverkeriet: 9 000
If cost exceeds, take from each board members 4080 
23/24 Increase due outcome</t>
      </text>
    </comment>
    <comment authorId="0" ref="E26">
      <text>
        <t xml:space="preserve">The SASSE Boards' working clothes (24 000 SEK). Medals for the Board (13 000 SEK). Cufflinks for the Board (3500 SEK). Bracelets (1745 SEK)
23/24 Increase due to late election and new accessory. Additional medals (intrim election)</t>
      </text>
    </comment>
    <comment authorId="0" ref="E27">
      <text>
        <t xml:space="preserve">The SASSE Boards' clothing grant (5 500 SEK each as a contribution for buying dresscode suit/black tie/white tie when representing SASSE).
23/24 Increase due to outcome</t>
      </text>
    </comment>
    <comment authorId="0" ref="E28">
      <text>
        <t xml:space="preserve">Cost for fika/lunch during meetings with students, for example focus groups about different ongoing questions + meetings to get feedback
Initative from 20/21 removed for 21/22</t>
      </text>
    </comment>
    <comment authorId="0" ref="E29">
      <text>
        <t xml:space="preserve">Lunch for faculty and SASSE representatives 60 people * 100 SEK = 6000
</t>
      </text>
    </comment>
    <comment authorId="0" ref="E30">
      <text>
        <t xml:space="preserve">Decorations for SSE lunch 500 sek
Moved to 11xx01 5070
</t>
      </text>
    </comment>
    <comment authorId="0" ref="E31">
      <text>
        <t xml:space="preserve">Education or arrangements to improve the board's ability to work well as a group.</t>
      </text>
    </comment>
    <comment authorId="0" ref="E32">
      <text>
        <t xml:space="preserve">For meetings and relations with previous SASSE Board.
Moved to 4047 10xx01
</t>
      </text>
    </comment>
    <comment authorId="0" ref="E33">
      <text>
        <t xml:space="preserve">The board's internal meetings. Based at SCB's price based kr)</t>
      </text>
    </comment>
    <comment authorId="0" ref="E34">
      <text>
        <t xml:space="preserve">Moved to the Vice President.
</t>
      </text>
    </comment>
    <comment authorId="0" ref="E35">
      <text>
        <t xml:space="preserve">Official trips within Sweden (e.g. Valborg at Skansen, Torra skiftet etc.) 
22/23 Small increase due to raised prices and outcome from last  year </t>
      </text>
    </comment>
    <comment authorId="0" ref="E36">
      <text>
        <t xml:space="preserve">Representing SASSE towards companies, other Swedish institutes for higher learning, and at external festivities such as nobel
Approximately the following:
22/23 added back 18 500 SEK for nobel (13 400 SEK for 5 representatives at city hall, 5 100 SEK for tickets to the remaining board to SNNC)
</t>
      </text>
    </comment>
    <comment authorId="0" ref="E37">
      <text>
        <t xml:space="preserve">The board's participation in SASSE events.
Only to be used for the purpose of not burdening individual projects by the attendance of the SASSE Board
23/24 Increase in line with ticket price increase</t>
      </text>
    </comment>
    <comment authorId="0" ref="E38">
      <text>
        <t xml:space="preserve">Relations with the SSE staff and faculty 2000 SEK
Board's attendance at diploma ceremonies 9* 2050 at the bachelor diploma ceremony, 3*2050 SEK at the master diploma ceremony (KO and UU are paid for by SSE)
Relations with SSE Riga 25 000 SEK
22/23 increased prices from SSE regarding the diploma cermonies. </t>
      </text>
    </comment>
    <comment authorId="0" ref="E39">
      <text>
        <t xml:space="preserve">External relations including visits to e.g. Hanken, Bergen, CBS, NHHS, GBC, SASSE Board Trip.
SASSE Board trip approx 110 000 SEK
The budget for the SASSE Board trip is contingent on the trip being approved by the student council in accordance with the travel policy.
23/24 Increased due to outcome</t>
      </text>
    </comment>
    <comment authorId="0" ref="E40">
      <text>
        <t xml:space="preserve">President (110%) + Treasurer (120%) + VKO/UU/NU (100%) + 6x others (10%) = 590%.
(5,9 [no of FTE:s] x 10 months x 12 052 kr [FTE base remuneration] / 0,7 [to adjust for income tax] * 1,3142 [social fees]) 
This account will be adjusted every year in the preliminary budget according to the new CSN amount for the year. Will be changed every year. 
23/24 Added temporary Treasurers in March and April</t>
      </text>
    </comment>
    <comment authorId="0" ref="E41">
      <text>
        <t xml:space="preserve">22/23, should be added, based on outcome</t>
      </text>
    </comment>
    <comment authorId="0" ref="E45">
      <text>
        <t xml:space="preserve">Removed 18/19
</t>
      </text>
    </comment>
    <comment authorId="0" ref="E46">
      <text>
        <t xml:space="preserve">Costs for "skiften", internal festivites and other similar arrangements. 
Can be used for SKOR
</t>
      </text>
    </comment>
    <comment authorId="0" ref="E47">
      <text>
        <t xml:space="preserve">Litterature and magazines for education and leadership development.
</t>
      </text>
    </comment>
    <comment authorId="0" ref="E48">
      <text>
        <t xml:space="preserve">Meetings with predecessors, e.g. patetmiddagar
500 SEK for collab predecessor-events with board</t>
      </text>
    </comment>
    <comment authorId="0" ref="E49">
      <text>
        <t xml:space="preserve">Meetings with regards to president post description</t>
      </text>
    </comment>
    <comment authorId="0" ref="E50">
      <text>
        <t xml:space="preserve">Meetings handover according to template. President (3,5)</t>
      </text>
    </comment>
    <comment authorId="0" ref="E51">
      <text>
        <t xml:space="preserve">President (3,5 points)</t>
      </text>
    </comment>
    <comment authorId="0" ref="E56">
      <text>
        <t xml:space="preserve">Educating conference with the incoming board (Torra skiftet). (32 000 SEK)
Activity for the candidates in the SASSE Election, during election day. 400 SEK / Candidate
(10 000 SEK) </t>
      </text>
    </comment>
    <comment authorId="0" ref="E57">
      <text>
        <t xml:space="preserve">Activity for the candidates in the SASSE Election, during election day.
20/21: moved to one single 4047 account</t>
      </text>
    </comment>
    <comment authorId="0" ref="E58">
      <text>
        <t xml:space="preserve">Interactive weekend with the incoming board (Blöta skiftet).
23724 Inrcrease due to intrim election</t>
      </text>
    </comment>
    <comment authorId="0" ref="E59">
      <text>
        <t xml:space="preserve">The incoming board's internal meetings. (Based at SCB's price base dkr) * 3/12 (Dec, Jan &amp; Feb) 
5000 should be saved for the last event organised by the outgoing board</t>
      </text>
    </comment>
    <comment authorId="0" ref="E60">
      <text>
        <t xml:space="preserve">Transport during interactive weekend with the incoming board (Blöta skiftet).
22/23 Changes back to normal year and increased due to outcome after corona</t>
      </text>
    </comment>
    <comment authorId="0" ref="E64">
      <text>
        <t xml:space="preserve">25 guests á 350 SEK
22/23 prices has increased to 350.</t>
      </text>
    </comment>
    <comment authorId="0" ref="E65">
      <text>
        <t xml:space="preserve">Food and beverage + other costs tied to the event. 25 ppl.
</t>
      </text>
    </comment>
    <comment authorId="0" ref="E68">
      <text>
        <t xml:space="preserve">Project removed 14/15
</t>
      </text>
    </comment>
    <comment authorId="0" ref="E76">
      <text>
        <t xml:space="preserve">Removed. Initiative 15/16.
</t>
      </text>
    </comment>
    <comment authorId="0" ref="E82">
      <text>
        <t xml:space="preserve">Removed since new hosts this year. (16/17)
</t>
      </text>
    </comment>
    <comment authorId="0" ref="E83">
      <text>
        <t xml:space="preserve">Sponsorship Revenue. 
Example 4 Companies paying 10 000</t>
      </text>
    </comment>
    <comment authorId="0" ref="E84">
      <text>
        <t xml:space="preserve">Ticket revenue from 42 participants from Norway, Finland, Denmark and Switzerland
42 * 540 SEK</t>
      </text>
    </comment>
    <comment authorId="0" ref="E85">
      <text>
        <t xml:space="preserve">Intenal Ticket revenue from SASSE Board 11*540
Corresponds to 6070 102001</t>
      </text>
    </comment>
    <comment authorId="0" ref="E86">
      <text>
        <t xml:space="preserve">Arrangements for notebooks pens, etc.</t>
      </text>
    </comment>
    <comment authorId="0" ref="E87">
      <text>
        <t xml:space="preserve">Food during the conferens á 53 persons: 
100 SEK for lunch x 2
365 SEK for dinner x 2
50 SEK for fika x 2
30 SEK for coffee x 2</t>
      </text>
    </comment>
    <comment authorId="0" ref="E88">
      <text>
        <t xml:space="preserve">Venue hire for the dinner out on a restaurant day 2</t>
      </text>
    </comment>
    <comment authorId="0" ref="E89">
      <text>
        <t xml:space="preserve">Ornaments for the dinner in the Pub day 1</t>
      </text>
    </comment>
    <comment authorId="0" ref="E93">
      <text>
        <t xml:space="preserve">Education for the SASSE Receptionist in order for her to develop and be a better help to the Board. For example database or Fortnox education.
</t>
      </text>
    </comment>
    <comment authorId="0" ref="E94">
      <text>
        <t xml:space="preserve">Fika for the reception and members. 
23/24 increased due to outcome and inflation
</t>
      </text>
    </comment>
    <comment authorId="0" ref="E95">
      <text>
        <t xml:space="preserve">Insurances (retirement, sickness) for the SASSE Receptionist
</t>
      </text>
    </comment>
    <comment authorId="0" ref="E96">
      <text>
        <t xml:space="preserve">Meetings with regards to receptionist post description</t>
      </text>
    </comment>
    <comment authorId="0" ref="E97">
      <text>
        <t xml:space="preserve">32 876SEK * 9,9 months * 1,3142 [for social fees] + 6575 for vacation pay (SV semesterlön/semestertillägg)
Usually yearly raise with 2%
22/23 Changed structure of salary
Full time pay during 9,9 months (unpaid vacation for 45 days = 2,1 months (45/253 = 0,175 --&gt; 0,175*12 =2,1)
(253 working days per year)
The yearly salary negotiations will be held during spring and added in Def 
</t>
      </text>
    </comment>
    <comment authorId="0" ref="E98">
      <text>
        <t xml:space="preserve">Wellness grant (=friskvårsbidrag) for the SASSE receptionist.</t>
      </text>
    </comment>
    <comment authorId="0" ref="E117">
      <text>
        <t xml:space="preserve">Pins to all "Småttingar" attending the Gasque as they become Enok and Enoka. Price increased since previous year. Also pins for MSc Students. Have some in store. 
2022/23 have brought pins for 2023/24 Removed due to it being one time cost, purchase if low inventory levels</t>
      </text>
    </comment>
    <comment authorId="0" ref="E118">
      <text>
        <t xml:space="preserve">Fund from which SASSE members can apply for expenses when representing SASSE. See Representation Fund Application for details.
22/23 Based on outcome before corona
</t>
      </text>
    </comment>
    <comment authorId="0" ref="E119">
      <text>
        <t xml:space="preserve">1000 kr for buying treats during the introductory week; Bachelors, Masters and Exchange. </t>
      </text>
    </comment>
    <comment authorId="0" ref="E120">
      <text>
        <t xml:space="preserve">Archiving old documents and minutes etc. Levdoc and Depona</t>
      </text>
    </comment>
    <comment authorId="0" ref="E121">
      <text>
        <t xml:space="preserve">Fund from which SASSE members can apply for expenses for starting new initiatives. See Initiative Fund Application for details.
23/24 Increased due to Pingu initiative with 10 000 used</t>
      </text>
    </comment>
    <comment authorId="0" ref="E122">
      <text>
        <t xml:space="preserve">Removed</t>
      </text>
    </comment>
    <comment authorId="0" ref="E123">
      <text>
        <t xml:space="preserve">Start up cost associated with workwear. Taken by VKO centrally since it is a one time cost and does not reflect on the fair price of the actual workwear.
22/23: According to outcome</t>
      </text>
    </comment>
    <comment authorId="0" ref="E124">
      <text>
        <t xml:space="preserve">Paper (~1 500 SEK), miscellaneous (~3000)
22/23 office management removed sicne we now get it from School. In def 23/24 might need to change according to new agreement
</t>
      </text>
    </comment>
    <comment authorId="0" ref="E125">
      <text>
        <t xml:space="preserve">Purchase of furniture and equipment for the President's office, Vice President's office, Treasurers office, the SASSE Reception, Erdman the Project Room, Börs. 7 rooms * 2000, 
23/24 Increase due to reopening of Expen</t>
      </text>
    </comment>
    <comment authorId="0" ref="E126">
      <text>
        <t xml:space="preserve">Office management removed since we now get it from School. 
23/24 37 000 (Old printer ending) + 2000 (Running costs) + 693*2 (Fixed cost to the school)
Prel 24/25 take new monthly cost into account</t>
      </text>
    </comment>
    <comment authorId="0" ref="E127">
      <text>
        <t xml:space="preserve">22/23 Added Zoom Account. Approx 165 SEK / month. Only for NU since other accounts is paid for by the school. </t>
      </text>
    </comment>
    <comment authorId="0" ref="E128">
      <text>
        <t xml:space="preserve">Consumables for the SA. Central account. eg plastic cuttlery
23/24 Increased due to inflation and outcome 
</t>
      </text>
    </comment>
    <comment authorId="0" ref="E129">
      <text>
        <t xml:space="preserve">Costs for cell phones of the SASSE Board and the SASSE Secretary. 
22/23 removed - The contract will be cancelled before 23/24 starts. </t>
      </text>
    </comment>
    <comment authorId="0" ref="E130">
      <text>
        <t xml:space="preserve">All letters, packages and supplies sent via the SASSE Reception. 
22/23 Removed due to vaktmästeri pays this</t>
      </text>
    </comment>
    <comment authorId="0" ref="E131">
      <text>
        <t xml:space="preserve">Insurance covering the premises at Sveavägen, Saltmätargatan and Enoksro, as well as supplies (i.e. beverages, clothing and computers). 
23/24 Removed drone insurance
</t>
      </text>
    </comment>
    <comment authorId="0" ref="E132">
      <text>
        <t xml:space="preserve">Licensing cost for movie licenses used by the whole SA. Contract canceled and cost removed until 18/19.</t>
      </text>
    </comment>
    <comment authorId="0" ref="E136">
      <text>
        <t xml:space="preserve">New 21/22 Sales coffe-machine from convini, approx 160 sales/month á 5 SEK.
22/23 removed since the coffee machine is removed</t>
      </text>
    </comment>
    <comment authorId="0" ref="E137">
      <text>
        <t xml:space="preserve">Donation from SSE to cover expenses for the premises. Out of total donation of 160 000 kr:  55 000 in Vice President's budget.</t>
      </text>
    </comment>
    <comment authorId="0" ref="E138">
      <text>
        <t xml:space="preserve">Income from subletting the premises for external parties. (5500 in renting cost for each external party 4*5500=22000)  
23/24 Lowered in line with outcome</t>
      </text>
    </comment>
    <comment authorId="0" ref="E139">
      <text>
        <t xml:space="preserve">Maintenance of the general SASSE premises.
Should not been used for everyday consumables
</t>
      </text>
    </comment>
    <comment authorId="0" ref="E140">
      <text>
        <t xml:space="preserve">Moved back to 5070 since the use of this money is dependent on the current state of the different premises.</t>
      </text>
    </comment>
    <comment authorId="0" ref="E141">
      <text>
        <t xml:space="preserve">Moved back to 5070 since the use of this money is dependent on the current state of the different premises.</t>
      </text>
    </comment>
    <comment authorId="0" ref="E142">
      <text>
        <t xml:space="preserve">Centralised account for committees to apply for money from.
23/24 Increased in line with outcome</t>
      </text>
    </comment>
    <comment authorId="0" ref="E143">
      <text>
        <t xml:space="preserve">Cleaning of the microwaves on a monthly basis(2 063 x 12).
22/23 Cleaning premises on a monthly basis except june &amp; july. + two extra cleaning per month  (2604*1,25*20) + start cost 2400*1,25.  
Oiling of the Rotunda/Pub once a year. </t>
      </text>
    </comment>
    <comment authorId="0" ref="E144">
      <text>
        <t xml:space="preserve">22/23 Based on outcome and need to look into better alternatives and a bigger room. 
23/24 increased due to internal management and outcome</t>
      </text>
    </comment>
    <comment authorId="0" ref="E145">
      <text>
        <t xml:space="preserve">Contract cancelled 17/18. The remaining fees of about 100 tkr concerning March-December 2018 will be treated as a liability in the 17/18 final accounts.</t>
      </text>
    </comment>
    <comment authorId="0" ref="E146">
      <text>
        <t xml:space="preserve">Purchases to replace cash register equipment due to the intensive wear and tear. Moved to 12xx01 in 19/20</t>
      </text>
    </comment>
    <comment authorId="0" ref="E147">
      <text>
        <t xml:space="preserve">Travel and administration costs relating to the premises, the SASSE reception, SASSE's central administration etc.</t>
      </text>
    </comment>
    <comment authorId="0" ref="E148">
      <text>
        <t xml:space="preserve">Transaction fees for the Izettle cash machines. Moved to 12xx01 in 19/20
</t>
      </text>
    </comment>
    <comment authorId="0" ref="E149">
      <text>
        <t xml:space="preserve">Convini automatic café + water dispenser, monthly subscription fee á 8 000/month. 
Redlocker 5000 sek per year
23/24 increase due to outcome</t>
      </text>
    </comment>
    <comment authorId="0" ref="E150">
      <text>
        <t xml:space="preserve">Depreciations of renovations according to the investment registry in Fortnox.</t>
      </text>
    </comment>
    <comment authorId="0" ref="E154">
      <text>
        <t xml:space="preserve">Guest ID sale through the SASSE reception for the Uppsala nations. Has been increased since previous years to show the total income, not only the net. Also increased due to the sale of Guest IDs for Valborg. Usually 15000 SEK
22/23 Removed since Uppsala has changed their ticket procedure</t>
      </text>
    </comment>
    <comment authorId="0" ref="E155">
      <text>
        <t xml:space="preserve">School pays for half of the webshop startup development cost. Corresponds 5420
22/23 removed since one time cost</t>
      </text>
    </comment>
    <comment authorId="0" ref="E156">
      <text>
        <t xml:space="preserve">Purchasing cost of sold inventory.</t>
      </text>
    </comment>
    <comment authorId="0" ref="E157">
      <text>
        <t xml:space="preserve">Sales of SSE and SASSE Profile Wear. Ending with the sales of SSE Profile Wear due to having cancelled the agreement with SSE but continuing with Whitelines and the remaining cufflinks. 
</t>
      </text>
    </comment>
    <comment authorId="0" ref="E158">
      <text>
        <t xml:space="preserve">Purchasing cost of sold inventory.</t>
      </text>
    </comment>
    <comment authorId="0" ref="E159">
      <text>
        <t xml:space="preserve">Monthly webshop fee 440*12
22/23 removed old cost for marketing outside of expen
</t>
      </text>
    </comment>
    <comment authorId="0" ref="E163">
      <text>
        <t xml:space="preserve">Food and beverage for 4 "seniorsitzar" with 38 seniors, 11 SASSE Board members, 5 members of the Board of Directors, Inspektor and Rektor, plus 
11 additional meals for incoming board in February, and 38 spouses for Cray Fish dinner in september. Calculated for 250kr per person for food, drinks, decorations incl. VAT. Estimated at 60% attendance over the year. 
22/23 Put back to normal year after misscalculation after corona.
</t>
      </text>
    </comment>
    <comment authorId="0" ref="E164">
      <text>
        <t xml:space="preserve">Transportation to and from Enoksro during the Kräftsitz in August 
22/23 Increased due to higher price last 3 years</t>
      </text>
    </comment>
    <comment authorId="0" ref="E168">
      <text>
        <t xml:space="preserve">Christmas dinner with the most active members of SASSE. </t>
      </text>
    </comment>
    <comment authorId="0" ref="E169">
      <text>
        <t xml:space="preserve">SASSE Award Ceremony Lunch with the most active members of SASSE. 
</t>
      </text>
    </comment>
    <comment authorId="0" ref="E170">
      <text>
        <t xml:space="preserve">Only 18/19 for arranging the Kräftisar at external location, during the reconstruction of Enoksro.
</t>
      </text>
    </comment>
    <comment authorId="0" ref="E174">
      <text>
        <t xml:space="preserve">Moved to KO, PC 10</t>
      </text>
    </comment>
    <comment authorId="0" ref="E175">
      <text>
        <t xml:space="preserve">Moved to FUM, PC 21</t>
      </text>
    </comment>
    <comment authorId="0" ref="E176">
      <text>
        <t xml:space="preserve">Moved to FUM, PC 21</t>
      </text>
    </comment>
    <comment authorId="0" ref="E181">
      <text>
        <t xml:space="preserve">Costs for "skiften", internal festivites and other similar arrangements. 
</t>
      </text>
    </comment>
    <comment authorId="0" ref="E182">
      <text>
        <t xml:space="preserve">Workwear according to template 22/23
Vice (3) SQM 1 PG (0.75) 
22/23 removed one SQM</t>
      </text>
    </comment>
    <comment authorId="0" ref="E183">
      <text>
        <t xml:space="preserve">Meetings with predecessors, e.g. patetmiddagar
500 SEK for collab predecessor-events with board</t>
      </text>
    </comment>
    <comment authorId="0" ref="E184">
      <text>
        <t xml:space="preserve">For meetings and activities with regards to the Vice President's post description.</t>
      </text>
    </comment>
    <comment authorId="0" ref="E185">
      <text>
        <t xml:space="preserve">Meetings handover according to template 1 President (3), 2 SQM PG (0.75)</t>
      </text>
    </comment>
    <comment authorId="0" ref="E186">
      <text>
        <t xml:space="preserve">According to new template.
Vice President (3), 2 SQM PG (0.75)</t>
      </text>
    </comment>
    <comment authorId="0" ref="E190">
      <text>
        <t xml:space="preserve">Costs for arranging meetings and events with the purpose to educate, guide and mentor members involved in our projects and committees.</t>
      </text>
    </comment>
    <comment authorId="0" ref="E191">
      <text>
        <t xml:space="preserve">Eg 3 events a 5000 SEK
Food for internal education events such as Kår Competence. 
</t>
      </text>
    </comment>
    <comment authorId="0" ref="E203">
      <text>
        <t xml:space="preserve">Marshal Costs for 3 people working 7 full days. 3*7*100 SEK = 2100 SEK.
Friggebod and fence project. Finished in 19/20</t>
      </text>
    </comment>
    <comment authorId="0" ref="E204">
      <text>
        <t xml:space="preserve">Moved to 11xx06</t>
      </text>
    </comment>
    <comment authorId="0" ref="E205">
      <text>
        <t xml:space="preserve">Moved to 11xx06</t>
      </text>
    </comment>
    <comment authorId="0" ref="E206">
      <text>
        <t xml:space="preserve">Moved to 11xx06</t>
      </text>
    </comment>
    <comment authorId="0" ref="E207">
      <text>
        <t xml:space="preserve">Rent income from external organisations, students and alumni using Enoksro.
OBS! Maximum of 30 000 due to the taxation law
22/23 Removed due to new guidelines for useage of Enoksro. Will be evaluated in Def 23/24
</t>
      </text>
    </comment>
    <comment authorId="0" ref="E208">
      <text>
        <t xml:space="preserve">Cleaning forward invoiced to external and internal parties for using the cabin. Estimated at 15 internal events that warrant external cleaning
(15x1625 SEK)
External cleaning cost 3 250 SEK according to agreement with cleaning company
VKO will cover half of this cost as the cost for cleaning has been higher than originally anticipated and this has proved very tricky for committees to cover.
22/23 outcome 22/23 is not correct due to specific surcomstances during neighbors. Removed due to inflation and better to have this cost centralized on VKO than on each project. 
</t>
      </text>
    </comment>
    <comment authorId="0" ref="E209">
      <text>
        <t xml:space="preserve">We will not charge rental income, but will invoice projects for cleaning, see account 3322</t>
      </text>
    </comment>
    <comment authorId="0" ref="E210">
      <text>
        <t xml:space="preserve">Electricity cost for the cabin, based on outcome previous years. 
</t>
      </text>
    </comment>
    <comment authorId="0" ref="E211">
      <text>
        <t xml:space="preserve">For buying minor pieces of furniture for the new cabin.
23/24 Zeroed due to uncertainty about usage, put back to prel 23/24 when operational</t>
      </text>
    </comment>
    <comment authorId="0" ref="E212">
      <text>
        <t xml:space="preserve">Cleaning for all parties and rentals at Enoksro.
0 external guests
17 internal parties
17*3 400= 57 800
23/24 Lowered due to uncertainty, put back to prel 24/25 when operational as usual </t>
      </text>
    </comment>
    <comment authorId="0" ref="E213">
      <text>
        <t xml:space="preserve">Garbage collection for five containers at 4 626 SEK per container plus 405 SEK base fee
22/23 Increased due to outcome
</t>
      </text>
    </comment>
    <comment authorId="0" ref="E214">
      <text>
        <t xml:space="preserve">No sweeping of the chimney needed, since there is now chimney in the new house!</t>
      </text>
    </comment>
    <comment authorId="0" ref="E215">
      <text>
        <t xml:space="preserve">Fees to Älgöföreningen plus alarm service.
1000 kr for fees to älgöföreningen
1815 kr * 4 for alarm service
22/23  Changed according to outcome removed old costs that has not been taken last years
</t>
      </text>
    </comment>
    <comment authorId="0" ref="E216">
      <text>
        <t xml:space="preserve">Consumables. E.g. Cleaning material</t>
      </text>
    </comment>
    <comment authorId="0" ref="E217">
      <text>
        <t xml:space="preserve">Repair and maintenance to allow keeping the new cabin in top condition. </t>
      </text>
    </comment>
    <comment authorId="0" ref="E218">
      <text>
        <t xml:space="preserve">Travel to Enoksro for check in at the house and general mantenance.
</t>
      </text>
    </comment>
    <comment authorId="0" ref="E219">
      <text>
        <t xml:space="preserve">See VKO Invesmtents Tab. Depreciation starting December 2018. </t>
      </text>
    </comment>
    <comment authorId="0" ref="E223">
      <text>
        <t xml:space="preserve">Depreciations for sound and light equipment, some already onwed and the rest to be purchased during the year (see the VKO new investments tab)</t>
      </text>
    </comment>
    <comment authorId="0" ref="E224">
      <text>
        <t xml:space="preserve">Purchase of cables, stands, etc</t>
      </text>
    </comment>
    <comment authorId="0" ref="E225">
      <text>
        <t xml:space="preserve">Service agreement from Forecom and showlighters that covers the Grand Hall, the Pub and the Rotunda. 700 SEK per month and 700 SEK per visit (estimated at 5 visits per year)
22/23 Based on outcome
</t>
      </text>
    </comment>
    <comment authorId="0" ref="E264">
      <text>
        <t xml:space="preserve">Budgeted for 48 Banquet guest and 32 Padel participants including the banquet price. 48 * 160 SEK and 32 * 200 SEK
Tak evening 300*100 SEK + Måla and Smoothie 40SEK *90</t>
      </text>
    </comment>
    <comment authorId="0" ref="E265">
      <text>
        <t xml:space="preserve">Bar sales at the event. Calculated with a 90 % margin on the sales.</t>
      </text>
    </comment>
    <comment authorId="0" ref="E266">
      <text>
        <t xml:space="preserve">Costs for the drinks sold at the event. Calculated on a 90% margin..</t>
      </text>
    </comment>
    <comment authorId="0" ref="E267">
      <text>
        <t xml:space="preserve">Marshal costs include necessities such as food, snacks and drinks. According to new template 20/21. 
1 full day. 
13 people working * 40 SEK</t>
      </text>
    </comment>
    <comment authorId="0" ref="E268">
      <text>
        <t xml:space="preserve">Dinner during the Casa de Padel banquet 120 sek for food and 50 sek for drinks. All for 80 persons. 
1200 for smoothies</t>
      </text>
    </comment>
    <comment authorId="0" ref="E269">
      <text>
        <t xml:space="preserve">Decorations accordning to theme</t>
      </text>
    </comment>
    <comment authorId="0" ref="E270">
      <text>
        <t xml:space="preserve">32 participants inkl geer
Venue hire TAK</t>
      </text>
    </comment>
    <comment authorId="0" ref="E271">
      <text>
        <t xml:space="preserve">Transaction fees for ticket sales</t>
      </text>
    </comment>
    <comment authorId="0" ref="E275">
      <text>
        <t xml:space="preserve">Budgeted for 280 guests paying 300 SEK per ticket
22/23 Removed </t>
      </text>
    </comment>
    <comment authorId="0" ref="E276">
      <text>
        <t xml:space="preserve">Marshal costs include necessities such as food, snacks and drinks. According to new template 20/21.
26 people working * 100 SEK plus 2 photographers * 40 SEK</t>
      </text>
    </comment>
    <comment authorId="0" ref="E277">
      <text>
        <t xml:space="preserve">Budgeted for 280 dinner guests. Covers food, drinks and dinner equipment (350 sek pp)</t>
      </text>
    </comment>
    <comment authorId="0" ref="E278">
      <text>
        <t xml:space="preserve">Decorations accordning to theme</t>
      </text>
    </comment>
    <comment authorId="0" ref="E279">
      <text>
        <t xml:space="preserve">Professional cleaning of the Grand Hall after the banquet.</t>
      </text>
    </comment>
    <comment authorId="0" ref="E280">
      <text>
        <t xml:space="preserve">Security guard expenses: Banquet (2guards * 9,5 * 500 SEK)
19 hrs * 500 SEK = 9500 SEK</t>
      </text>
    </comment>
    <comment authorId="0" ref="E281">
      <text>
        <t xml:space="preserve">Transaction fees for ticket sales</t>
      </text>
    </comment>
    <comment authorId="0" ref="E285">
      <text>
        <t xml:space="preserve">Budgeted for 120 guests. (70 SEK per guest) Included for 280 persons in banquet price. </t>
      </text>
    </comment>
    <comment authorId="0" ref="E286">
      <text>
        <t xml:space="preserve">Bar sales at the event. Calculated with a 90 % margin on the sales.</t>
      </text>
    </comment>
    <comment authorId="0" ref="E287">
      <text>
        <t xml:space="preserve">Renting Crush barriers</t>
      </text>
    </comment>
    <comment authorId="0" ref="E288">
      <text>
        <t xml:space="preserve">Costs for the drinks sold at the event. Calculated on a 90% margin.</t>
      </text>
    </comment>
    <comment authorId="0" ref="E289">
      <text>
        <t xml:space="preserve">Marshal costs include necessities such as food, snacks and drinks. According to new template 20/21.
32 people working full day x 100 SEK</t>
      </text>
    </comment>
    <comment authorId="0" ref="E290">
      <text>
        <t xml:space="preserve">6 guards 21:30-03:30
6 Hours a 500 SEK
</t>
      </text>
    </comment>
    <comment authorId="0" ref="E291">
      <text>
        <t xml:space="preserve">Transaction fees for ticket sales</t>
      </text>
    </comment>
    <comment authorId="0" ref="E302">
      <text>
        <t xml:space="preserve">22/23 removed since this is the purpose of 4081</t>
      </text>
    </comment>
    <comment authorId="0" ref="E303">
      <text>
        <t xml:space="preserve">Costs for "skiften", internal festivites and other similar arrangements. 
</t>
      </text>
    </comment>
    <comment authorId="0" ref="E304">
      <text>
        <t xml:space="preserve">Workwear according to template 21/22
Treasurer (3), 1 Vice Treasurer (1,75)
22/23 decreased to 1 vice treasurer</t>
      </text>
    </comment>
    <comment authorId="0" ref="E305">
      <text>
        <t xml:space="preserve">Education or arrangements for the Treasury to enable routine improvements and increase efficiency. Involves literature as well as seminars, conferences, excel courses or other accounting courses. 
</t>
      </text>
    </comment>
    <comment authorId="0" ref="E306">
      <text>
        <t xml:space="preserve">Moved to 4065 18/19</t>
      </text>
    </comment>
    <comment authorId="0" ref="E307">
      <text>
        <t xml:space="preserve">Meetings with predecessors
500 SEK for collab predecessor-events with board</t>
      </text>
    </comment>
    <comment authorId="0" ref="E308">
      <text>
        <t xml:space="preserve">Meetings with regards to the Treasurer Post Description, as well as previous treasurer working with final accounts + 1000</t>
      </text>
    </comment>
    <comment authorId="0" ref="E309">
      <text>
        <t xml:space="preserve">Meetings handover according to template. 
Treasurer (3), 1 Vice Treasurer (1,75)
1*400 SEK + 1 * 200 SEK
23/24 Increased due to late election of treasurer</t>
      </text>
    </comment>
    <comment authorId="0" ref="E310">
      <text>
        <t xml:space="preserve">According to new template. Treasurer (3), 1 * Vice Treasurer (1,75)</t>
      </text>
    </comment>
    <comment authorId="0" ref="E311">
      <text>
        <t xml:space="preserve">Currently part of the Vice President's budget</t>
      </text>
    </comment>
    <comment authorId="0" ref="E312">
      <text>
        <t xml:space="preserve">Currently part of the Vice President's budget</t>
      </text>
    </comment>
    <comment authorId="0" ref="E313">
      <text>
        <t xml:space="preserve">Moved to 'Economic function' (17/18)</t>
      </text>
    </comment>
    <comment authorId="0" ref="E317">
      <text>
        <t xml:space="preserve">21/22 Support from skatteverket "omställningsstöd" because of covid situation. 174 125 for nov-dec period 2020.
Changed in prel 22/23</t>
      </text>
    </comment>
    <comment authorId="0" ref="E318">
      <text>
        <t xml:space="preserve">Reminders fee from delayed invoices
23/24 Decreased in line with outcome</t>
      </text>
    </comment>
    <comment authorId="0" ref="E319">
      <text>
        <t xml:space="preserve">Interest from bank account (SBAB) with 2% interest. 
Also includes some additional penalty interest on late payments.
Interest from HHSS Consulting 
22/23 Decreased due to large outflow from the SBAB account to SASSE</t>
      </text>
    </comment>
    <comment authorId="0" ref="E320">
      <text>
        <t xml:space="preserve">Removed as we no longer pay any license fees for the web attestation system.</t>
      </text>
    </comment>
    <comment authorId="0" ref="E321">
      <text>
        <t xml:space="preserve">Licenses for accounting software such as the Fortnox. Cost moved from 4010.
23/24 Increased due to outcome
</t>
      </text>
    </comment>
    <comment authorId="0" ref="E322">
      <text>
        <t xml:space="preserve">Purchases to replace cash register equipment (izettles, ipads, etc) due to the intensive wear and tear. </t>
      </text>
    </comment>
    <comment authorId="0" ref="E323">
      <text>
        <t xml:space="preserve">Cost for the automatic handling of our invoices. 
Outcome 19/20 lower, however, 6250 SEK added as we need to pay 6 250 SEK to be able to search among invoices in Levdoc. When this function is no longer needed, we can email them and tell them that we no longer need that function.</t>
      </text>
    </comment>
    <comment authorId="0" ref="E324">
      <text>
        <t xml:space="preserve">Costs for help from the auditors in general accounting matters throughout the year and the collection company (Inkasso).</t>
      </text>
    </comment>
    <comment authorId="0" ref="E325">
      <text>
        <t xml:space="preserve">Cost for the annual inspection made by the auditors during the autumn.
21/22 Raised according to outcome last 3 years.
</t>
      </text>
    </comment>
    <comment authorId="0" ref="E326">
      <text>
        <t xml:space="preserve">Costs of holding the postal giro accounts, safe deposit boxes, bank, transaction costs, SEB Corporate Limit card fees, Zettle transaction fees (Zettle fees moved from 11xx01 in 19/20)
22/23 Changed according to outcome and moved the account from 16XX02</t>
      </text>
    </comment>
    <comment authorId="0" ref="E327">
      <text>
        <t xml:space="preserve">Fee for delayed payments of invoices. </t>
      </text>
    </comment>
    <comment authorId="0" ref="E331">
      <text>
        <t xml:space="preserve">Consultant fees for the final Accounts. 
22/23 increased due to outcome. </t>
      </text>
    </comment>
    <comment authorId="0" ref="E340">
      <text>
        <t xml:space="preserve">Committee sponsorship agreement with Deloitte à 64 000 SEK
22/23 Center for sports and business removed 20/21</t>
      </text>
    </comment>
    <comment authorId="0" ref="E341">
      <text>
        <t xml:space="preserve">Ticket revenue for internal committee events, "Skiften", internal hecklings etc.
</t>
      </text>
    </comment>
    <comment authorId="0" ref="E342">
      <text>
        <t xml:space="preserve">SAIF grants that shall be applied. around 30 000 per year
22/23 decreased due to missused the grants previous years</t>
      </text>
    </comment>
    <comment authorId="0" ref="E343">
      <text>
        <t xml:space="preserve">Sports fee: 600 members * 300SEK
22/23 raised due to higher demand from students
</t>
      </text>
    </comment>
    <comment authorId="0" ref="E344">
      <text>
        <t xml:space="preserve">Bar revenues from internal committee events
</t>
      </text>
    </comment>
    <comment authorId="0" ref="E345">
      <text>
        <t xml:space="preserve">Money from SSE in order for swedish program student to participate in sports activities
</t>
      </text>
    </comment>
    <comment authorId="0" ref="E346">
      <text>
        <t xml:space="preserve">Removed 16/17</t>
      </text>
    </comment>
    <comment authorId="0" ref="E347">
      <text>
        <t xml:space="preserve">1000 kr for buying treats during the introductory week; Bachelors, Masters and Exchange. 
Costs for Deloitte Olympiaden moved to project 131801 </t>
      </text>
    </comment>
    <comment authorId="0" ref="E348">
      <text>
        <t xml:space="preserve">Moved to 4050</t>
      </text>
    </comment>
    <comment authorId="0" ref="E349">
      <text>
        <t xml:space="preserve">Costs for "skiften", internal festivites and other similar arrangements. 
30% of total internal meetings for the profit center. Increased due to costs for renting Enoksro.
</t>
      </text>
    </comment>
    <comment authorId="0" ref="E350">
      <text>
        <t xml:space="preserve">Workwear according to template 23/24
7 Board Members 
6 Coaches + tournament (1)
23 Coaches (0,75)
4 S&amp;B (0,5)
(Cheer 132019)
22/23 Changed number of coaches </t>
      </text>
    </comment>
    <comment authorId="0" ref="E351">
      <text>
        <t xml:space="preserve">Cost for printing posters to advertise our events. Lowered due to no need or ordinary printing just roll-up.
21/22 New rollup was brought 2020
</t>
      </text>
    </comment>
    <comment authorId="0" ref="E352">
      <text>
        <t xml:space="preserve">Education or arrangements to improve the committee board's ability to work. Can be used for internal education, books, conferences, etc. </t>
      </text>
    </comment>
    <comment authorId="0" ref="E353">
      <text>
        <t xml:space="preserve">Meetings with predecessors, e.g. “patetmiddagar”
500 SEK for collab predecessor-events with board</t>
      </text>
    </comment>
    <comment authorId="0" ref="E354">
      <text>
        <t xml:space="preserve">For meetings with projects, 
external parties and handover
Added due to new template </t>
      </text>
    </comment>
    <comment authorId="0" ref="E355">
      <text>
        <t xml:space="preserve">According to new template 21/22
Handover meeting with successor and predecessor, to encourage a smooth transition, 
1 President (3)
6 board members (1,75)
6 Coaches + Tournament (1)
23 Coaches (0,75)
1 PL Surf Committee (0,5)
4 S&amp;B (0,5)
(Cheer 132019)
22/23 Moved ski committee to PU and remove MSC ski committee</t>
      </text>
    </comment>
    <comment authorId="0" ref="E356">
      <text>
        <t xml:space="preserve">19/20: All internal meetings &amp; representation centralised to one budget post
(previously split up between "Board" and "Coaches and Projects"</t>
      </text>
    </comment>
    <comment authorId="0" ref="E357">
      <text>
        <t xml:space="preserve">According to new template 21/22
1 President (3)
6 Board Members (1,75)
6 Coaches + Tournament (1)
23 SASSE Coaches (0,75)
(Cheer 132019)
1 PL Surf Committee (0,5)
4 S&amp;B (0,5)
3 Materialare (0,25)
4 Pg Surf Committee (0,25)
2 Bänkvärmare (0,25)
22/23 moved Ski committee to PU and removed MSC ski , MM </t>
      </text>
    </comment>
    <comment authorId="0" ref="E358">
      <text>
        <t xml:space="preserve">Soccer 1848 x 32, 
Volleyball 1300 x 32 
Cheerleading 742 x 32
Tough Viking 742 x 32
Tennis 637 x 30 
Golf 1000 x 30
Padel 55.000 (for 1 year, 2 times a week) 
Bouldering 1600 x 32
Floorball 1000 x 32
Badminton 15400 per season
Basket 1000 x 32
Nya Initiativ 2000
23/24 Removed badminton and swimming due to lack of interest
</t>
      </text>
    </comment>
    <comment authorId="0" ref="E359">
      <text>
        <t xml:space="preserve">Purchase of furniture and equipment to rent for the Sports Committee office.</t>
      </text>
    </comment>
    <comment authorId="0" ref="E360">
      <text>
        <t xml:space="preserve">Ordinary equipment (new game balls, other wear and tear) 10 000 SEK
</t>
      </text>
    </comment>
    <comment authorId="0" ref="E361">
      <text>
        <t xml:space="preserve">Transportation to external practices and games
22/23 decreased due to outcome</t>
      </text>
    </comment>
    <comment authorId="0" ref="E362">
      <text>
        <t xml:space="preserve">Travelling cost during SC events
Such as Deloitte Olympics, SWC and Coach-Get away at Enoksro</t>
      </text>
    </comment>
    <comment authorId="0" ref="E363">
      <text>
        <t xml:space="preserve">Representation at meetings with sponsors and federations, purchuses of flags and other things for representation during tournaments, purchase of 'special baggage' when flying with Bruce.</t>
      </text>
    </comment>
    <comment authorId="0" ref="E364">
      <text>
        <t xml:space="preserve">Removed 16/17 due to centralization to Vice Presidents budget. 
</t>
      </text>
    </comment>
    <comment authorId="0" ref="E365">
      <text>
        <t xml:space="preserve">Sveriges Akademikers Idrottsförbund, membership fee.</t>
      </text>
    </comment>
    <comment authorId="0" ref="E366">
      <text>
        <t xml:space="preserve">Transaction fees for ticket sales
Zeroed as transaction fees should simply be taken into account when gathering ticket revenue</t>
      </text>
    </comment>
    <comment authorId="0" ref="E370">
      <text>
        <t xml:space="preserve">Public funding for new initiatives
21/22 Decreased due to more accurate use of the money the last years</t>
      </text>
    </comment>
    <comment authorId="0" ref="E371">
      <text>
        <t xml:space="preserve">Costs related to the new initiative
21/22 Decreased due to more accurate use of the money the last years</t>
      </text>
    </comment>
    <comment authorId="0" ref="E375">
      <text>
        <t xml:space="preserve">Moved to project 131716 "Sports &amp; Business Day"</t>
      </text>
    </comment>
    <comment authorId="0" ref="E376">
      <text>
        <t xml:space="preserve">Ticket revenue for banquets etc.
Casa de padel + Kasai 350SEK*60
2 pre-tournament banquets á 50 people, 100 SEK per person
Pre surf trip banquet á 50 people, 75 SEK per person
23/24 Increase due to ticket price increase</t>
      </text>
    </comment>
    <comment authorId="0" ref="E377">
      <text>
        <t xml:space="preserve">Bar Sales based on normal year
22/23 Increased prices in the bar
</t>
      </text>
    </comment>
    <comment authorId="0" ref="E378">
      <text>
        <t xml:space="preserve">Cost for banquets etc.</t>
      </text>
    </comment>
    <comment authorId="0" ref="E379">
      <text>
        <t xml:space="preserve">Alcohol to be sold during the pre-tournament events</t>
      </text>
    </comment>
    <comment authorId="0" ref="E380">
      <text>
        <t xml:space="preserve">Marshal costs include necessities such as food, snacks and drinks. According to new template 21/22. 
2 smaller banquets ahead of major sports tournaments. 7 people working half day</t>
      </text>
    </comment>
    <comment authorId="0" ref="E381">
      <text>
        <t xml:space="preserve">Gifts to speakers
Moved to project 131716 "Sports &amp; Business Day"</t>
      </text>
    </comment>
    <comment authorId="0" ref="E382">
      <text>
        <t xml:space="preserve">Sports events. Contributions to internal sports events such as Coach-getaway, Deloitte Olympics, pre-events for large tournaments etc. as these kinds of events have many members who don't get exchange merits and thus no other money
22/23 decreased due to outcome</t>
      </text>
    </comment>
    <comment authorId="0" ref="E383">
      <text>
        <t xml:space="preserve">Printing for posters and nametags
Moved to project 131716 "Sports &amp; Business Day"</t>
      </text>
    </comment>
    <comment authorId="0" ref="E384">
      <text>
        <t xml:space="preserve">La casa de padel + Kasai event 60*350SEK 
2 pre-tournament banquets á 50 people, 75 SEK per person
Pre surf trip banquet á 50 people, 75 SEK per person</t>
      </text>
    </comment>
    <comment authorId="0" ref="E385">
      <text>
        <t xml:space="preserve">Decorations to the fair
Moved to project 131716 "Sports &amp; Business Day"</t>
      </text>
    </comment>
    <comment authorId="0" ref="E386">
      <text>
        <t xml:space="preserve">Transaction fees nortic: 12,5SEK*30 (members bought tickets 2&amp;2)
2 pre-tournament banquets á 50 people
</t>
      </text>
    </comment>
    <comment authorId="0" ref="E390">
      <text>
        <t xml:space="preserve">CSB partnership is now cleared
Participation fee for gyms/sponsors etc. (calculated on 2 gyms paying 2000 SEK each = 4000 SEK) 
Removed 22/23
</t>
      </text>
    </comment>
    <comment authorId="0" ref="E391">
      <text>
        <t xml:space="preserve">Marshal costs include necessities such as food, snacks and drinks During the fair.
According to new template 20/21
10 people
1 half day 
</t>
      </text>
    </comment>
    <comment authorId="0" ref="E392">
      <text>
        <t xml:space="preserve">Gifts to speakers each day 100 SEK 5 person
</t>
      </text>
    </comment>
    <comment authorId="0" ref="E393">
      <text>
        <t xml:space="preserve">Contributions to the theme week</t>
      </text>
    </comment>
    <comment authorId="0" ref="E394">
      <text>
        <t xml:space="preserve">Printing for posters and nametags
</t>
      </text>
    </comment>
    <comment authorId="0" ref="E395">
      <text>
        <t xml:space="preserve">Lunch presentations. Lunch for lunch presentation, 75 SEK x 40st x 3 times
According to new template 21/22
</t>
      </text>
    </comment>
    <comment authorId="0" ref="E396">
      <text>
        <t xml:space="preserve">Decorations for banquet
23/24 Changed from fair to banquet</t>
      </text>
    </comment>
    <comment authorId="0" ref="E401">
      <text>
        <t xml:space="preserve">Possible Ticket Revenues from members if costs exceed the state amount</t>
      </text>
    </comment>
    <comment authorId="0" ref="E402">
      <text>
        <t xml:space="preserve">Travel cost for the IDU board approx 5000
For 1 trip. If more than 1 trip during the spring they will pay for themselfes
23/24 Increased due to increase in prices</t>
      </text>
    </comment>
    <comment authorId="0" ref="E403">
      <text>
        <t xml:space="preserve">45 participants * 135 EUR (1000 SEK) (for the players' registration fees and accommodation during tournaments. 
22/23 decreased amount of people and higher price
</t>
      </text>
    </comment>
    <comment authorId="0" ref="E407">
      <text>
        <t xml:space="preserve">Possible Ticket Revenues from members if costs exceed the state amount</t>
      </text>
    </comment>
    <comment authorId="0" ref="E408">
      <text>
        <t xml:space="preserve">Travel cost for the IDU board approx 5000
For 1 trip. If more than 1 trip during the spring they will pay for themselvs
22/23 removed initative</t>
      </text>
    </comment>
    <comment authorId="0" ref="E409">
      <text>
        <t xml:space="preserve">Participation fee for the fall sports tournament
55 participants * 1000 SEK (100 EUR)
22/23 will be changed in deff depending on the new desination</t>
      </text>
    </comment>
    <comment authorId="0" ref="E413">
      <text>
        <t xml:space="preserve">Possible sponsorship for mens and females football team
</t>
      </text>
    </comment>
    <comment authorId="0" ref="E414">
      <text>
        <t xml:space="preserve">Mens and female soccer. Aimed for friendship matches tournaments, equipment, activities etc.</t>
      </text>
    </comment>
    <comment authorId="0" ref="E427">
      <text>
        <t xml:space="preserve">Bar sales estimated from last year's Super-Bowl-Pub
</t>
      </text>
    </comment>
    <comment authorId="0" ref="E428">
      <text>
        <t xml:space="preserve">Snacks for the participants.</t>
      </text>
    </comment>
    <comment authorId="0" ref="E429">
      <text>
        <t xml:space="preserve">Alcohol to be sold during the event, 1500/790-1=90%</t>
      </text>
    </comment>
    <comment authorId="0" ref="E430">
      <text>
        <t xml:space="preserve">4 workers x 80 SEK (320 SEK)</t>
      </text>
    </comment>
    <comment authorId="0" ref="E431">
      <text>
        <t xml:space="preserve">Decorations for creating an awards ceremonial feeling</t>
      </text>
    </comment>
    <comment authorId="0" ref="E434">
      <text>
        <t xml:space="preserve">Moved to 131912</t>
      </text>
    </comment>
    <comment authorId="0" ref="E435">
      <text>
        <t xml:space="preserve">moved to 131812</t>
      </text>
    </comment>
    <comment authorId="0" ref="E436">
      <text>
        <t xml:space="preserve">moved to 131812</t>
      </text>
    </comment>
    <comment authorId="0" ref="E437">
      <text>
        <t xml:space="preserve">moved to 131812</t>
      </text>
    </comment>
    <comment authorId="0" ref="E438">
      <text>
        <t xml:space="preserve">moved to 131812</t>
      </text>
    </comment>
    <comment authorId="0" ref="E451">
      <text>
        <t xml:space="preserve">Account only used for +/-=0 costs</t>
      </text>
    </comment>
    <comment authorId="0" ref="E452">
      <text>
        <t xml:space="preserve">According to new template 18/19 5 PG  (0,25)
20/21: Moved to central in line with other such projects</t>
      </text>
    </comment>
    <comment authorId="0" ref="E453">
      <text>
        <t xml:space="preserve">Account only used for +/-=0 costs</t>
      </text>
    </comment>
    <comment authorId="0" ref="E457">
      <text>
        <t xml:space="preserve">Bar Sales based on previous year
22/23 Increased prices in the bar
</t>
      </text>
    </comment>
    <comment authorId="0" ref="E458">
      <text>
        <t xml:space="preserve">Snacks for the participants etc.
</t>
      </text>
    </comment>
    <comment authorId="0" ref="E459">
      <text>
        <t xml:space="preserve">Alcohol to be sold during the event
</t>
      </text>
    </comment>
    <comment authorId="0" ref="E460">
      <text>
        <t xml:space="preserve">Marshal costs include necessities such as food, snacks and drinks.
According to new template 20/21
2 half days, 4 workers
</t>
      </text>
    </comment>
    <comment authorId="0" ref="E461">
      <text>
        <t xml:space="preserve">Snacks or food for the pubs</t>
      </text>
    </comment>
    <comment authorId="0" ref="E465">
      <text>
        <t xml:space="preserve">40 people á 100 SEK
22/23 has been combined with the IdU crawfish party</t>
      </text>
    </comment>
    <comment authorId="0" ref="E466">
      <text>
        <t xml:space="preserve">Based on outcome 18/19
22/23 has been combined with the IdU crawfish party</t>
      </text>
    </comment>
    <comment authorId="0" ref="E467">
      <text>
        <t xml:space="preserve">Based on outcome 18/19
22/23 has been combined with the IdU crawfish party</t>
      </text>
    </comment>
    <comment authorId="0" ref="E468">
      <text>
        <t xml:space="preserve">Marshal costs include necessities such as food, snacks and drinks.
Based on outcome 
7 workers * 40 SEK
22/23 has been combined with the IdU crawfish party
</t>
      </text>
    </comment>
    <comment authorId="0" ref="E469">
      <text>
        <t xml:space="preserve">75 SEK for food and 30 SEK for drinks á 40 people
22/23 has been combined with the IdU crawfish party</t>
      </text>
    </comment>
    <comment authorId="0" ref="E470">
      <text>
        <t xml:space="preserve">Based on outcome 20/21
</t>
      </text>
    </comment>
    <comment authorId="0" ref="E471">
      <text>
        <t xml:space="preserve">Based on outcome 22/23
</t>
      </text>
    </comment>
    <comment authorId="0" ref="E475">
      <text>
        <t xml:space="preserve">22/23 Pre-banquet 50 people * 70 SEK
</t>
      </text>
    </comment>
    <comment authorId="0" ref="E476">
      <text>
        <t xml:space="preserve">19/20: Removed due to lack of interest
</t>
      </text>
    </comment>
    <comment authorId="0" ref="E477">
      <text>
        <t xml:space="preserve">19/20: Removed due to lack of interest
</t>
      </text>
    </comment>
    <comment authorId="0" ref="E481">
      <text>
        <t xml:space="preserve">Possible Ticket Revenues from members if costs exceed the state amount.</t>
      </text>
    </comment>
    <comment authorId="0" ref="E482">
      <text>
        <t xml:space="preserve">Registration fee and accommodation/transport for participation in National Tournaments.</t>
      </text>
    </comment>
    <comment authorId="0" ref="E485">
      <text>
        <t xml:space="preserve">Removed due to sponsorship in 131900</t>
      </text>
    </comment>
    <comment authorId="0" ref="E486">
      <text>
        <t xml:space="preserve">Revenue for cooperation with SSE's center for Sports &amp; Business</t>
      </text>
    </comment>
    <comment authorId="0" ref="E487">
      <text>
        <t xml:space="preserve">Cost connected to the cooperation with SSE's research center Sports &amp; Business such as Hästnäringens Innovationsdag, Jämställdhetsgalan etc.
Also contribution to different events to strengthen the cooperation further and improve the IdU culture, such as IDU kräftifen e.g.</t>
      </text>
    </comment>
    <comment authorId="0" ref="E491">
      <text>
        <t xml:space="preserve">Revenues from external 
performances </t>
      </text>
    </comment>
    <comment authorId="0" ref="E492">
      <text>
        <t xml:space="preserve">Workwear according to template 21/22
4 Coaches(1,5)
22/23 increased to 4 coaches
 </t>
      </text>
    </comment>
    <comment authorId="0" ref="E493">
      <text>
        <t xml:space="preserve">"Fika" Fruit and snacks during cheer camps 300 á 2 tournaments
</t>
      </text>
    </comment>
    <comment authorId="0" ref="E494">
      <text>
        <t xml:space="preserve">According to Template
4 Coach (1,5) 
22/23 increased to 4 coaches
</t>
      </text>
    </comment>
    <comment authorId="0" ref="E495">
      <text>
        <t xml:space="preserve">According to new template 
4 x SASSE Coaches (1,5) 
22/23 increased to 4 coaches
</t>
      </text>
    </comment>
    <comment authorId="0" ref="E496">
      <text>
        <t xml:space="preserve">Equipment for tournaments</t>
      </text>
    </comment>
    <comment authorId="0" ref="E497">
      <text>
        <t xml:space="preserve">Venue Hire for one cheer camp on safe grounding, tournaments
22/23 decreased due to outcome
</t>
      </text>
    </comment>
    <comment authorId="0" ref="E501">
      <text>
        <t xml:space="preserve">2 x 5 á side pitches
Lowered due to previouse outcome 22/23</t>
      </text>
    </comment>
    <comment authorId="0" ref="E502">
      <text>
        <t xml:space="preserve">Calculated on 64 people (8 teams x 8 players) x 25 SEK
Decreased due to corona situation</t>
      </text>
    </comment>
    <comment authorId="0" ref="E503">
      <text>
        <t xml:space="preserve">Electricity provider for BBQ &amp; entertainment</t>
      </text>
    </comment>
    <comment authorId="0" ref="E504">
      <text>
        <t xml:space="preserve">Footballs, equipment for the referees and other essentials
</t>
      </text>
    </comment>
    <comment authorId="0" ref="E505">
      <text>
        <t xml:space="preserve">Awards for the winning team (calculated on trophy 300 SEK)
</t>
      </text>
    </comment>
    <comment authorId="0" ref="E514">
      <text>
        <t xml:space="preserve">No Committee sponsor yet but the IntU-board aspires to acquire one 
</t>
      </text>
    </comment>
    <comment authorId="0" ref="E515">
      <text>
        <t xml:space="preserve">Ticket revenue for internal committee events, "Skiften",  etc.</t>
      </text>
    </comment>
    <comment authorId="0" ref="E516">
      <text>
        <t xml:space="preserve">Costs associated with internal committee events, "Skiften",  etc.</t>
      </text>
    </comment>
    <comment authorId="0" ref="E517">
      <text>
        <t xml:space="preserve">Removed 13/14 due to centralization. </t>
      </text>
    </comment>
    <comment authorId="0" ref="E518">
      <text>
        <t xml:space="preserve">1000 kr for buying treats during the introductory week; Bachelors, Masters and Exchange. </t>
      </text>
    </comment>
    <comment authorId="0" ref="E519">
      <text>
        <t xml:space="preserve">Moved to 4050
</t>
      </text>
    </comment>
    <comment authorId="0" ref="E520">
      <text>
        <t xml:space="preserve">Costs for "skiften", internal festivites and other similar arrangements. 
30% of total internal meetings for the profit center. Increased due to costs for renting Enoksro.
Part of new template 18/19.
22/23 brought pins for years forward 200st 20kr/pin to be taken from this account(no money increase, just a note to the board)</t>
      </text>
    </comment>
    <comment authorId="0" ref="E521">
      <text>
        <t xml:space="preserve">Workwear according to template. 1 Committee President (3), 6 Board Members (1,75).
22/23 added 1 board member
</t>
      </text>
    </comment>
    <comment authorId="0" ref="E522">
      <text>
        <t xml:space="preserve">Printing for Intu events
22/23 removed New roll-up 1500 SEK
 </t>
      </text>
    </comment>
    <comment authorId="0" ref="E523">
      <text>
        <t xml:space="preserve">Education or arrangements to improve the committee board's ability to work. Can be used for internal education, books, conferences, etc. 
23/24 Updated based on outcome</t>
      </text>
    </comment>
    <comment authorId="0" ref="E524">
      <text>
        <t xml:space="preserve">Magazine subscription etc. Changed due to exact information about cost for Time magazine (the only subscription at the moment). Removed 15/16</t>
      </text>
    </comment>
    <comment authorId="0" ref="E525">
      <text>
        <t xml:space="preserve">Meetings with predecessors, e.g. patetmiddagar
500 SEK for collab predecessor-events with board</t>
      </text>
    </comment>
    <comment authorId="0" ref="E526">
      <text>
        <t xml:space="preserve">Meetings with regards to Committee President post descriptions. </t>
      </text>
    </comment>
    <comment authorId="0" ref="E527">
      <text>
        <t xml:space="preserve">Meetings handover according to template 20/21. 1 Committee President (3), 6 Board (1,75)
22/23 added 1 board member
</t>
      </text>
    </comment>
    <comment authorId="0" ref="E528">
      <text>
        <t xml:space="preserve">1 Committee President (3), 6 Board Members (1,75),  3 festisar (0,25)
According to new template 21/23.
22/23 added 1 board member
</t>
      </text>
    </comment>
    <comment authorId="0" ref="E529">
      <text>
        <t xml:space="preserve">For providing the committee rooms with furniture and decorations
</t>
      </text>
    </comment>
    <comment authorId="0" ref="E530">
      <text>
        <t xml:space="preserve">IC board representation at exchange banquets. 6 people * 4 banquets * 200 SEK
IC Board representation Octoberfest  70*6
22/23 added 1 board member
23/24 Represent at Thanksgiving
</t>
      </text>
    </comment>
    <comment authorId="0" ref="E531">
      <text>
        <t xml:space="preserve">Removed 16/17 due to centralization to Vice Presidents budget. </t>
      </text>
    </comment>
    <comment authorId="0" ref="E535">
      <text>
        <t xml:space="preserve">3 lectures*100 SEK/gift</t>
      </text>
    </comment>
    <comment authorId="0" ref="E536">
      <text>
        <t xml:space="preserve">Posters and flyers etc. 3 lectures*100 SEK/lecture. Removed 17/18 since all marketing is made through digital channels. </t>
      </text>
    </comment>
    <comment authorId="0" ref="E537">
      <text>
        <t xml:space="preserve">Fika for 3 lectures 36kr*60 students</t>
      </text>
    </comment>
    <comment authorId="0" ref="E538">
      <text>
        <t xml:space="preserve">Removed 17/18. No Project Group anymore, the Project leader will be a member of the board. </t>
      </text>
    </comment>
    <comment authorId="0" ref="E542">
      <text>
        <t xml:space="preserve">40 participants*130 SEK
Decreased to increase incentive to attend
</t>
      </text>
    </comment>
    <comment authorId="0" ref="E543">
      <text>
        <t xml:space="preserve">Bar revenues, margin 90%
Lowered due to lower demand during "fulsittning"</t>
      </text>
    </comment>
    <comment authorId="0" ref="E544">
      <text>
        <t xml:space="preserve">Alcohol for the bar sales. 
Decreased due to outcome</t>
      </text>
    </comment>
    <comment authorId="0" ref="E545">
      <text>
        <t xml:space="preserve">Marshal costs include necessities such as food, snacks and drinks.
According to new template 18/19
1 half day 8 marshals</t>
      </text>
    </comment>
    <comment authorId="0" ref="E546">
      <text>
        <t xml:space="preserve">Arrangements for the Battle, e.g games </t>
      </text>
    </comment>
    <comment authorId="0" ref="E547">
      <text>
        <t xml:space="preserve">40*130 = 4800
Decreased to account for new ticket price. 
</t>
      </text>
    </comment>
    <comment authorId="0" ref="E548">
      <text>
        <t xml:space="preserve">Decoration of the Rotunda
Decreased according to outcome</t>
      </text>
    </comment>
    <comment authorId="0" ref="E549">
      <text>
        <t xml:space="preserve">No guard needed, removed in 16/17.</t>
      </text>
    </comment>
    <comment authorId="0" ref="E550">
      <text>
        <t xml:space="preserve">Transaction fees for ticket sales. Updated for nortic</t>
      </text>
    </comment>
    <comment authorId="0" ref="E559">
      <text>
        <t xml:space="preserve">Revenues from students participating in events. </t>
      </text>
    </comment>
    <comment authorId="0" ref="E560">
      <text>
        <t xml:space="preserve">Grants from Swedish program 15 000 per semester for the American Nation 
22/23 was added due to initiative from the school. </t>
      </text>
    </comment>
    <comment authorId="0" ref="E561">
      <text>
        <t xml:space="preserve">Removed from 4010 and distributed to 4047 and 4076 in 17/18. Costs for arranging social events based on outcome.</t>
      </text>
    </comment>
    <comment authorId="0" ref="E562">
      <text>
        <t xml:space="preserve">Arrangement costs for social events connected to the regional associations and other activities connected to the purpose of IntU
22/23 added 30 000 for the American nation money from Swedish program. </t>
      </text>
    </comment>
    <comment authorId="0" ref="E563">
      <text>
        <t xml:space="preserve">Workwear for DV (exchange merits: 0.75): 6 people
No workwear for remaining associations as they only have 0.25 SASSE exchange merits
22/23 increased project members in DV
</t>
      </text>
    </comment>
    <comment authorId="0" ref="E564">
      <text>
        <t xml:space="preserve">Sum of the food &amp; drink costs for the Regional Associations and events connected to the purpose of IntU
23/24 Increased due to outcome</t>
      </text>
    </comment>
    <comment authorId="0" ref="E565">
      <text>
        <t xml:space="preserve">6xDV (0,75)
According to template 
22/23 increased project members in DV
</t>
      </text>
    </comment>
    <comment authorId="0" ref="E566">
      <text>
        <t xml:space="preserve">6 DV (0,75) and 48 other (0,25). According to new template.
22/23 increased project members in DV
</t>
      </text>
    </comment>
    <comment authorId="0" ref="E577">
      <text>
        <t xml:space="preserve">Divided into three separate projects in 18/19 (14XX17-17XX19)
</t>
      </text>
    </comment>
    <comment authorId="0" ref="E578">
      <text>
        <t xml:space="preserve">Divided into three separate projects in 18/19 (14XX17-17XX19)
</t>
      </text>
    </comment>
    <comment authorId="0" ref="E579">
      <text>
        <t xml:space="preserve">Divided into three separate projects in 18/19 (14XX17-17XX19)
</t>
      </text>
    </comment>
    <comment authorId="0" ref="E580">
      <text>
        <t xml:space="preserve">Divided into three separate projects in 18/19 (14XX17-17XX19)
</t>
      </text>
    </comment>
    <comment authorId="0" ref="E581">
      <text>
        <t xml:space="preserve">Divided into three separate projects in 18/19 (14XX17-17XX19)
</t>
      </text>
    </comment>
    <comment authorId="0" ref="E582">
      <text>
        <t xml:space="preserve">Divided into three separate projects in 18/19 (14XX17-17XX19)
</t>
      </text>
    </comment>
    <comment authorId="0" ref="E583">
      <text>
        <t xml:space="preserve">Divided into three separate projects in 18/19 (14XX17-17XX19)
</t>
      </text>
    </comment>
    <comment authorId="0" ref="E584">
      <text>
        <t xml:space="preserve">Divided into three separate projects in 18/19 (14XX17-17XX19)
</t>
      </text>
    </comment>
    <comment authorId="0" ref="E585">
      <text>
        <t xml:space="preserve">Divided into three separate projects in 18/19 (14XX17-17XX19)
</t>
      </text>
    </comment>
    <comment authorId="0" ref="E590">
      <text>
        <t xml:space="preserve">Ticket revenues for banquet. 100 student*200SEK
22/23 back to normal year with no after party and increased price per ticket
</t>
      </text>
    </comment>
    <comment authorId="0" ref="E591">
      <text>
        <t xml:space="preserve">Bar revenues, margin 90%
22/23 put back to normal year with no after party and increased prices in the bar
</t>
      </text>
    </comment>
    <comment authorId="0" ref="E592">
      <text>
        <t xml:space="preserve">Alcohol for the bar sales.
correlated to 3030
22/23 back to normal year with no after party </t>
      </text>
    </comment>
    <comment authorId="0" ref="E593">
      <text>
        <t xml:space="preserve">Food for the people working, 20 students full day, 100 SEK/person, 1*DJ*40
Marshal costs include necessities such as food, snacks and drinks. 
According to new template 20/21. 
22/23 change number of marshals</t>
      </text>
    </comment>
    <comment authorId="0" ref="E594">
      <text>
        <t xml:space="preserve">Cost for the arrangements of the dinner, such as furniture, etc.
22/23 back to normal year with no after party 
</t>
      </text>
    </comment>
    <comment authorId="0" ref="E595">
      <text>
        <t xml:space="preserve">6 PG (0,5)
22/23 added number in the project </t>
      </text>
    </comment>
    <comment authorId="0" ref="E596">
      <text>
        <t xml:space="preserve">100 students*120 SEK
22/23 increased due to more people</t>
      </text>
    </comment>
    <comment authorId="0" ref="E597">
      <text>
        <t xml:space="preserve">For Thanksgiving-themed decorations.
Increased due to output</t>
      </text>
    </comment>
    <comment authorId="0" ref="E598">
      <text>
        <t xml:space="preserve">6 PG (0,5)
22/23 added number in the project </t>
      </text>
    </comment>
    <comment authorId="0" ref="E599">
      <text>
        <t xml:space="preserve">6 PG (0,5)
22/23 added number in the project </t>
      </text>
    </comment>
    <comment authorId="0" ref="E600">
      <text>
        <t xml:space="preserve">2 during banquet 2,5h
22/23 Increased prices for the guards but also removed some due to no after party, as a normal year</t>
      </text>
    </comment>
    <comment authorId="0" ref="E601">
      <text>
        <t xml:space="preserve">Transaction fees for ticket sales, updated to nortic
22/23 back to normal year with no after party </t>
      </text>
    </comment>
    <comment authorId="0" ref="E604">
      <text>
        <t xml:space="preserve">No longer under SASSE</t>
      </text>
    </comment>
    <comment authorId="0" ref="E605">
      <text>
        <t xml:space="preserve">19/20: No longer needed as the Stockholm Model United Nations is currently arranged at SU</t>
      </text>
    </comment>
    <comment authorId="0" ref="E606">
      <text>
        <t xml:space="preserve">19/20: No longer needed as the Stockholm Model United Nations is currently arranged at SU</t>
      </text>
    </comment>
    <comment authorId="0" ref="E607">
      <text>
        <t xml:space="preserve">19/20: No longer needed as the Stockholm Model United Nations is currently arranged at SU</t>
      </text>
    </comment>
    <comment authorId="0" ref="E608">
      <text>
        <t xml:space="preserve">19/20: No longer needed as the Stockholm Model United Nations is currently arranged at SU</t>
      </text>
    </comment>
    <comment authorId="0" ref="E609">
      <text>
        <t xml:space="preserve">19/20: No longer needed as the Stockholm Model United Nations is currently arranged at SU</t>
      </text>
    </comment>
    <comment authorId="0" ref="E610">
      <text>
        <t xml:space="preserve">19/20: No longer needed as the Stockholm Model United Nations is currently arranged at SU</t>
      </text>
    </comment>
    <comment authorId="0" ref="E611">
      <text>
        <t xml:space="preserve">1 guest lecture 
22/23 combined with AIA</t>
      </text>
    </comment>
    <comment authorId="0" ref="E612">
      <text>
        <t xml:space="preserve">Workwear according to template 20/21. 1 PL (0,75), 3 PG (0,5)
22/23 combined with AIA</t>
      </text>
    </comment>
    <comment authorId="0" ref="E613">
      <text>
        <t xml:space="preserve">19/20: No longer needed as the Stockholm Model United Nations is currently arranged at SU
22/23 combined with AIA</t>
      </text>
    </comment>
    <comment authorId="0" ref="E614">
      <text>
        <t xml:space="preserve">19/20: No longer needed as the Stockholm Model United Nations is currently arranged at SU
22/23 combined with AIA</t>
      </text>
    </comment>
    <comment authorId="0" ref="E615">
      <text>
        <t xml:space="preserve">6 Discussions meetings, 10 people fika.
Will be moved to AIA 14xx23 in prel 23/24
</t>
      </text>
    </comment>
    <comment authorId="0" ref="E616">
      <text>
        <t xml:space="preserve">Meetings handover according to template 20/21. 1 PL (0,75), 3 PG (0,5)
22/23 combined with AIA</t>
      </text>
    </comment>
    <comment authorId="0" ref="E617">
      <text>
        <t xml:space="preserve">According to new template 18/19. 1 PL (0,75), 3 PG (0,5)
22/23 combined with AIA</t>
      </text>
    </comment>
    <comment authorId="0" ref="E618">
      <text>
        <t xml:space="preserve">19/20: No longer needed as the Stockholm Model United Nations is currently arranged at SU</t>
      </text>
    </comment>
    <comment authorId="0" ref="E619">
      <text>
        <t xml:space="preserve">19/20: No longer needed as the Stockholm Model United Nations is currently arranged at SU</t>
      </text>
    </comment>
    <comment authorId="0" ref="E620">
      <text>
        <t xml:space="preserve">Fees for sending SASSE members to the SMUN arranged at SU
21/22 Decreased due to corona. Put back prel 22/23 
</t>
      </text>
    </comment>
    <comment authorId="0" ref="E624">
      <text>
        <t xml:space="preserve">Removed 16/17</t>
      </text>
    </comment>
    <comment authorId="0" ref="E625">
      <text>
        <t xml:space="preserve">Removed 16/17</t>
      </text>
    </comment>
    <comment authorId="0" ref="E626">
      <text>
        <t xml:space="preserve">Removed 16/17</t>
      </text>
    </comment>
    <comment authorId="0" ref="E627">
      <text>
        <t xml:space="preserve">Removed 16/17</t>
      </text>
    </comment>
    <comment authorId="0" ref="E628">
      <text>
        <t xml:space="preserve">Removed 16/17</t>
      </text>
    </comment>
    <comment authorId="0" ref="E629">
      <text>
        <t xml:space="preserve">Removed 16/17</t>
      </text>
    </comment>
    <comment authorId="0" ref="E630">
      <text>
        <t xml:space="preserve">Removed 16/17</t>
      </text>
    </comment>
    <comment authorId="0" ref="E634">
      <text>
        <t xml:space="preserve">Grants from the CEMS office. For two periods with 20 000 per period.</t>
      </text>
    </comment>
    <comment authorId="0" ref="E635">
      <text>
        <t xml:space="preserve">Ticket revenue has been added since CEMS host a lot of events that is outside the budget. They only take costs associated to the event, like food, drinks and decorations. 
22/23 decreased according to outcome</t>
      </text>
    </comment>
    <comment authorId="0" ref="E636">
      <text>
        <t xml:space="preserve">Costs for events, arrangements and parties. 
22/23 decreased according to outcome</t>
      </text>
    </comment>
    <comment authorId="0" ref="E640">
      <text>
        <t xml:space="preserve">Removed due to the fact all costs are now taken by the Program Office. Also, there has been a lack of interest for this among SASSE members</t>
      </text>
    </comment>
    <comment authorId="0" ref="E641">
      <text>
        <t xml:space="preserve">Gifts for the panel
22/23 decreased due to standardiazed all gift accounts in prel 23/24</t>
      </text>
    </comment>
    <comment authorId="0" ref="E642">
      <text>
        <t xml:space="preserve">2 PG (0,5)</t>
      </text>
    </comment>
    <comment authorId="0" ref="E643">
      <text>
        <t xml:space="preserve">Brought back 22/23: 1 panel, lunch for 20 people. Mingle in the pub fika á 800 sek</t>
      </text>
    </comment>
    <comment authorId="0" ref="E644">
      <text>
        <t xml:space="preserve">2 PG (0,5)</t>
      </text>
    </comment>
    <comment authorId="0" ref="E645">
      <text>
        <t xml:space="preserve">2 PG (0,5)</t>
      </text>
    </comment>
    <comment authorId="0" ref="E653">
      <text>
        <t xml:space="preserve">The budget of Effective Altruism has been moved to SASSE Sustainability</t>
      </text>
    </comment>
    <comment authorId="0" ref="E654">
      <text>
        <t xml:space="preserve">The budget for Effective Altruism has been moved to SASSE Sustainability 27xx01</t>
      </text>
    </comment>
    <comment authorId="0" ref="E655">
      <text>
        <t xml:space="preserve">The budget for Effective Altruism has been moved to SASSE Sustainability 27xx01</t>
      </text>
    </comment>
    <comment authorId="0" ref="E656">
      <text>
        <t xml:space="preserve">The budget for Effective Altruism has been moved to SASSE Sustainability 27xx01</t>
      </text>
    </comment>
    <comment authorId="0" ref="E657">
      <text>
        <t xml:space="preserve">The budget for Effective Altruism has been moved to SASSE Sustainability 27xx01</t>
      </text>
    </comment>
    <comment authorId="0" ref="E658">
      <text>
        <t xml:space="preserve">The budget for Effective Altruism has been moved to SASSE Sustainability 27xx01</t>
      </text>
    </comment>
    <comment authorId="0" ref="E659">
      <text>
        <t xml:space="preserve">The budget for Effective Altruism has been moved to SASSE Sustainability 27xx01</t>
      </text>
    </comment>
    <comment authorId="0" ref="E660">
      <text>
        <t xml:space="preserve">The budget for Effective Altruism has been moved to SASSE Sustainability 27xx01</t>
      </text>
    </comment>
    <comment authorId="0" ref="E661">
      <text>
        <t xml:space="preserve">The budget for Effective Altruism has been moved to SASSE Sustainability 27xx01</t>
      </text>
    </comment>
    <comment authorId="0" ref="E662">
      <text>
        <t xml:space="preserve">The budget for Effective Altruism has been moved to SASSE Sustainability 27xx01</t>
      </text>
    </comment>
    <comment authorId="0" ref="E663">
      <text>
        <t xml:space="preserve">The budget for Effective Altruism has been moved to SASSE Sustainability 27xx01</t>
      </text>
    </comment>
    <comment authorId="0" ref="E667">
      <text>
        <t xml:space="preserve">Removed since having trouble finding a project leader for this. </t>
      </text>
    </comment>
    <comment authorId="0" ref="E670">
      <text>
        <t xml:space="preserve">Moved to SASSE Sustainability</t>
      </text>
    </comment>
    <comment authorId="0" ref="E671">
      <text>
        <t xml:space="preserve">The budget for CSG has been moved to SASSE Sustainability 27xx02</t>
      </text>
    </comment>
    <comment authorId="0" ref="E672">
      <text>
        <t xml:space="preserve">The budget for CSG has been moved to SASSE Sustainability 27xx02</t>
      </text>
    </comment>
    <comment authorId="0" ref="E673">
      <text>
        <t xml:space="preserve">The budget for CSG has been moved to SASSE Sustainability 27xx02</t>
      </text>
    </comment>
    <comment authorId="0" ref="E674">
      <text>
        <t xml:space="preserve">The budget for CSG has been moved to SASSE Sustainability 27xx02</t>
      </text>
    </comment>
    <comment authorId="0" ref="E675">
      <text>
        <t xml:space="preserve">The budget for CSG has been moved to SASSE Sustainability 27xx02</t>
      </text>
    </comment>
    <comment authorId="0" ref="E676">
      <text>
        <t xml:space="preserve">The budget for CSG has been moved to SASSE Sustainability 27xx02</t>
      </text>
    </comment>
    <comment authorId="0" ref="E677">
      <text>
        <t xml:space="preserve">The budget for CSG has been moved to SASSE Sustainability 27xx02</t>
      </text>
    </comment>
    <comment authorId="0" ref="E678">
      <text>
        <t xml:space="preserve">The budget for CSG has been moved to SASSE Sustainability 27xx02</t>
      </text>
    </comment>
    <comment authorId="0" ref="E679">
      <text>
        <t xml:space="preserve">The budget for CSG has been moved to SASSE Sustainability 27xx02</t>
      </text>
    </comment>
    <comment authorId="0" ref="E680">
      <text>
        <t xml:space="preserve">The budget for CSG has been moved to SASSE Sustainability 27xx02</t>
      </text>
    </comment>
    <comment authorId="0" ref="E684">
      <text>
        <t xml:space="preserve">Removed 18/19 due to lack of interest. 
</t>
      </text>
    </comment>
    <comment authorId="0" ref="E685">
      <text>
        <t xml:space="preserve">Removed 18/19 due to lack of interest. </t>
      </text>
    </comment>
    <comment authorId="0" ref="E686">
      <text>
        <t xml:space="preserve">Removed 18/19 due to lack of interest. </t>
      </text>
    </comment>
    <comment authorId="0" ref="E687">
      <text>
        <t xml:space="preserve">Removed 18/19 due to lack of interest. </t>
      </text>
    </comment>
    <comment authorId="0" ref="E688">
      <text>
        <t xml:space="preserve">Removed 18/19 due to lack of interest. </t>
      </text>
    </comment>
    <comment authorId="0" ref="E689">
      <text>
        <t xml:space="preserve">Removed 18/19 due to lack of interest. </t>
      </text>
    </comment>
    <comment authorId="0" ref="E690">
      <text>
        <t xml:space="preserve">Removed 18/19 due to lack of interest. </t>
      </text>
    </comment>
    <comment authorId="0" ref="E691">
      <text>
        <t xml:space="preserve">Removed 18/19 due to lack of interest. </t>
      </text>
    </comment>
    <comment authorId="0" ref="E692">
      <text>
        <t xml:space="preserve">Removed 18/19 due to lack of interest. </t>
      </text>
    </comment>
    <comment authorId="0" ref="E693">
      <text>
        <t xml:space="preserve">Removed 18/19 due to lack of interest. </t>
      </text>
    </comment>
    <comment authorId="0" ref="E696">
      <text>
        <t xml:space="preserve">Rebranding to Corporate Asia
</t>
      </text>
    </comment>
    <comment authorId="0" ref="E697">
      <text>
        <t xml:space="preserve">Removed as there is not as much interest from solely japanese/asian companies for a fair. Partly replaced by international week</t>
      </text>
    </comment>
    <comment authorId="0" ref="E698">
      <text>
        <t xml:space="preserve">Removed as there is not as much interest from solely japanese/asian companies for a fair. Partly replaced by international week</t>
      </text>
    </comment>
    <comment authorId="0" ref="E699">
      <text>
        <t xml:space="preserve">Removed as there is not as much interest from solely japanese/asian companies for a fair. Partly replaced by international week</t>
      </text>
    </comment>
    <comment authorId="0" ref="E700">
      <text>
        <t xml:space="preserve">Removed as there is not as much interest from solely japanese/asian companies for a fair. Partly replaced by international week</t>
      </text>
    </comment>
    <comment authorId="0" ref="E701">
      <text>
        <t xml:space="preserve">Removed as there is not as much interest from solely japanese/asian companies for a fair. Partly replaced by international week</t>
      </text>
    </comment>
    <comment authorId="0" ref="E702">
      <text>
        <t xml:space="preserve">Removed as there is not as much interest from solely japanese/asian companies for a fair. Partly replaced by international week</t>
      </text>
    </comment>
    <comment authorId="0" ref="E703">
      <text>
        <t xml:space="preserve">Removed as there is not as much interest from solely japanese/asian companies for a fair. Partly replaced by international week</t>
      </text>
    </comment>
    <comment authorId="0" ref="E704">
      <text>
        <t xml:space="preserve">Removed as there is not as much interest from solely japanese/asian companies for a fair. Partly replaced by international week</t>
      </text>
    </comment>
    <comment authorId="0" ref="E705">
      <text>
        <t xml:space="preserve">Removed as there is not as much interest from solely japanese/asian companies for a fair. Partly replaced by international week</t>
      </text>
    </comment>
    <comment authorId="0" ref="E706">
      <text>
        <t xml:space="preserve">Removed as there is not as much interest from solely japanese/asian companies for a fair. Partly replaced by international week</t>
      </text>
    </comment>
    <comment authorId="0" ref="E707">
      <text>
        <t xml:space="preserve">Removed as there is not as much interest from solely japanese/asian companies for a fair. Partly replaced by international week</t>
      </text>
    </comment>
    <comment authorId="0" ref="E708">
      <text>
        <t xml:space="preserve">Removed as there is not as much interest from solely japanese/asian companies for a fair. Partly replaced by international week</t>
      </text>
    </comment>
    <comment authorId="0" ref="E709">
      <text>
        <t xml:space="preserve">Removed as there is not as much interest from solely japanese/asian companies for a fair. Partly replaced by international week</t>
      </text>
    </comment>
    <comment authorId="0" ref="E710">
      <text>
        <t xml:space="preserve">Removed as there is not as much interest from solely japanese/asian companies for a fair. Partly replaced by international week</t>
      </text>
    </comment>
    <comment authorId="0" ref="E711">
      <text>
        <t xml:space="preserve">Removed as there is not as much interest from solely japanese/asian companies for a fair. Partly replaced by international week</t>
      </text>
    </comment>
    <comment authorId="0" ref="E712">
      <text>
        <t xml:space="preserve">Removed as there is not as much interest from solely japanese/asian companies for a fair. Partly replaced by international week</t>
      </text>
    </comment>
    <comment authorId="0" ref="E713">
      <text>
        <t xml:space="preserve">Removed as there is not as much interest from solely japanese/asian companies for a fair. Partly replaced by international week</t>
      </text>
    </comment>
    <comment authorId="0" ref="E717">
      <text>
        <t xml:space="preserve">Removed.</t>
      </text>
    </comment>
    <comment authorId="0" ref="E718">
      <text>
        <t xml:space="preserve">Removed due to no current project group. </t>
      </text>
    </comment>
    <comment authorId="0" ref="E719">
      <text>
        <t xml:space="preserve">Removed due to no current project group. </t>
      </text>
    </comment>
    <comment authorId="0" ref="E720">
      <text>
        <t xml:space="preserve">Removed due to no current project group. </t>
      </text>
    </comment>
    <comment authorId="0" ref="E721">
      <text>
        <t xml:space="preserve">Removed due to no current project group. </t>
      </text>
    </comment>
    <comment authorId="0" ref="E722">
      <text>
        <t xml:space="preserve">Removed due to no current project group. </t>
      </text>
    </comment>
    <comment authorId="0" ref="E723">
      <text>
        <t xml:space="preserve">Removed due to no current project group. </t>
      </text>
    </comment>
    <comment authorId="0" ref="E724">
      <text>
        <t xml:space="preserve">Removed due to no current project group. </t>
      </text>
    </comment>
    <comment authorId="0" ref="E725">
      <text>
        <t xml:space="preserve">Removed due to no current project group. </t>
      </text>
    </comment>
    <comment authorId="0" ref="E726">
      <text>
        <t xml:space="preserve">Removed due to no current project group. </t>
      </text>
    </comment>
    <comment authorId="0" ref="E727">
      <text>
        <t xml:space="preserve">Removed due to no current project group. </t>
      </text>
    </comment>
    <comment authorId="0" ref="E728">
      <text>
        <t xml:space="preserve">Removed due to no current project group. </t>
      </text>
    </comment>
    <comment authorId="0" ref="E729">
      <text>
        <t xml:space="preserve">Removed due to no current project group. </t>
      </text>
    </comment>
    <comment authorId="0" ref="E733">
      <text>
        <t xml:space="preserve">Not: entrance fee. Externals: 90kr SASSE Members: 70kr.
</t>
      </text>
    </comment>
    <comment authorId="0" ref="E734">
      <text>
        <t xml:space="preserve">Tickets for the INTU Board. 
correlates to 142200 6071
23/24 Decreased due to outcome
</t>
      </text>
    </comment>
    <comment authorId="0" ref="E735">
      <text>
        <t xml:space="preserve">Estimated bar sales based on previous years. 
22/23 Increased prices in the bar
</t>
      </text>
    </comment>
    <comment authorId="0" ref="E736">
      <text>
        <t xml:space="preserve">Not: Security, fences
22/23 increased to be in line with PU</t>
      </text>
    </comment>
    <comment authorId="0" ref="E737">
      <text>
        <t xml:space="preserve">Not: Calculations is based on a margin of 90%</t>
      </text>
    </comment>
    <comment authorId="0" ref="E738">
      <text>
        <t xml:space="preserve">Marshal costs include necessities such as food, snacks and drinks. According to new template
23/24 Lower amount of Marshals
</t>
      </text>
    </comment>
    <comment authorId="0" ref="E741">
      <text>
        <t xml:space="preserve">Decorations for Oktoberfest.
23/24 Increase due to outcome</t>
      </text>
    </comment>
    <comment authorId="0" ref="E742">
      <text>
        <t xml:space="preserve">Moved to 142004. 20/21</t>
      </text>
    </comment>
    <comment authorId="0" ref="E743">
      <text>
        <t xml:space="preserve">8 guards from 21:30 to 03:30
(8*6)*547,5
22/23: raised hourly price </t>
      </text>
    </comment>
    <comment authorId="0" ref="E744">
      <text>
        <t xml:space="preserve">Transaction fees for ticket sales
70 pre sold tickets through nortic (5 kr ex moms)</t>
      </text>
    </comment>
    <comment authorId="0" ref="E748">
      <text>
        <t xml:space="preserve">50 tickets a 150 kr</t>
      </text>
    </comment>
    <comment authorId="0" ref="E749">
      <text>
        <t xml:space="preserve">22/23 Moved to 4076
</t>
      </text>
    </comment>
    <comment authorId="0" ref="E750">
      <text>
        <t xml:space="preserve">Is put on central instead 142017-4013</t>
      </text>
    </comment>
    <comment authorId="0" ref="E751">
      <text>
        <t xml:space="preserve">Cost for the arrangements of the dinner</t>
      </text>
    </comment>
    <comment authorId="0" ref="E752">
      <text>
        <t xml:space="preserve">Food and drinks for the dinner, based on last year's outcome.
22/23 added alcoholic drinks for the banquet
</t>
      </text>
    </comment>
    <comment authorId="0" ref="E753">
      <text>
        <t xml:space="preserve">2 guards from 20:00 to 21:30
(2*1,5)*547,5
22/23 increased price</t>
      </text>
    </comment>
    <comment authorId="0" ref="E754">
      <text>
        <t xml:space="preserve">Transaction fees for ticket sales</t>
      </text>
    </comment>
    <comment authorId="0" ref="E758">
      <text>
        <t xml:space="preserve">Raised slightly due to outcome previous years.
Changed due to outcome
22/23 Increased prices in the bar
</t>
      </text>
    </comment>
    <comment authorId="0" ref="E759">
      <text>
        <t xml:space="preserve">Snacks and food for the event :)
23/24 Lowered due to outcome</t>
      </text>
    </comment>
    <comment authorId="0" ref="E760">
      <text>
        <t xml:space="preserve">Calculation is based on a margin of 90 %
Changed due to outcome</t>
      </text>
    </comment>
    <comment authorId="0" ref="E764">
      <text>
        <t xml:space="preserve">Moved to Corporate Sustainability Group (Previously Focus CSR) (141913)</t>
      </text>
    </comment>
    <comment authorId="0" ref="E768">
      <text>
        <t xml:space="preserve">Grants from the program office 20 000 SEK per semester/cohort to subsidize activities for exchange students. </t>
      </text>
    </comment>
    <comment authorId="0" ref="E769">
      <text>
        <t xml:space="preserve">Connected to 4010.  If they want to use mor money on the banquets
23/24 Added back due outcome, 2 big banquest, 2 smaller pizza pubs </t>
      </text>
    </comment>
    <comment authorId="0" ref="E770">
      <text>
        <t xml:space="preserve">Bar sales, corresponds to 4012 with 90 % markup</t>
      </text>
    </comment>
    <comment authorId="0" ref="E771">
      <text>
        <t xml:space="preserve">Costs allocated to events and activities for exchange students. 20000 SEK should be used for each cohort. These costs are approved if they concern arrangements, events, ornaments, or simply transaction fees.
10000 per Banquet</t>
      </text>
    </comment>
    <comment authorId="0" ref="E772">
      <text>
        <t xml:space="preserve">Connected to 3030. 90% margin.</t>
      </text>
    </comment>
    <comment authorId="0" ref="E773">
      <text>
        <t xml:space="preserve">Funds to encourage early meetings with buddies and exchange students. 
1 large social event per cohort (bowling, etc during Introduction) 2*5 000 = 10 000
</t>
      </text>
    </comment>
    <comment authorId="0" ref="E774">
      <text>
        <t xml:space="preserve">Workwear according to template 21/22. 
2 PL (1,5), 6 PG (0,75)
22/23 increased merits since it was not updated in def 22/23</t>
      </text>
    </comment>
    <comment authorId="0" ref="E775">
      <text>
        <t xml:space="preserve">Zeroed</t>
      </text>
    </comment>
    <comment authorId="0" ref="E776">
      <text>
        <t xml:space="preserve">2 PL (1,5) 6 PG (0,75). Meetings handover according to template 20/21. 
22/23 increased merits since it was not updated in def 22/23</t>
      </text>
    </comment>
    <comment authorId="0" ref="E777">
      <text>
        <t xml:space="preserve">2 PL (1,5) 6 PG (0,75). According to new template.</t>
      </text>
    </comment>
    <comment authorId="0" ref="E781">
      <text>
        <t xml:space="preserve">Ticket revenue for events during the week
23/24
- Wine tasting 100kr * 20 tickets
- Food tasting 40kr * 40 tickets
- Dance 70kr * 20 tickets</t>
      </text>
    </comment>
    <comment authorId="0" ref="E782">
      <text>
        <t xml:space="preserve">Based on outcome
22/23 No bar sales</t>
      </text>
    </comment>
    <comment authorId="0" ref="E783">
      <text>
        <t xml:space="preserve">Zeroed due to low demand. Try to get one this year 21/22
21/22 If sponsorship revenue is collected, a fair can be possible. Discussion will be during January.  
22/23 Got a company to sponsor </t>
      </text>
    </comment>
    <comment authorId="0" ref="E784">
      <text>
        <t xml:space="preserve">Not: Calculations is based on a margin of 90%</t>
      </text>
    </comment>
    <comment authorId="0" ref="E785">
      <text>
        <t xml:space="preserve">23/24 Lowered based on outcome
- Discuss during fall 23 with room for motion increase</t>
      </text>
    </comment>
    <comment authorId="0" ref="E786">
      <text>
        <t xml:space="preserve">1 PL (1) and 5 PG (0,75) 
According to template</t>
      </text>
    </comment>
    <comment authorId="0" ref="E787">
      <text>
        <t xml:space="preserve">Rollup was purched last year</t>
      </text>
    </comment>
    <comment authorId="0" ref="E788">
      <text>
        <t xml:space="preserve">2 inspirational lectures
40 pers * 2 event * 75 SEK
</t>
      </text>
    </comment>
    <comment authorId="0" ref="E789">
      <text>
        <t xml:space="preserve">Decor for the events
23/24 Lowered due to outcome</t>
      </text>
    </comment>
    <comment authorId="0" ref="E790">
      <text>
        <t xml:space="preserve">1 PL (1) and 5 PG (0,75) 
According to template </t>
      </text>
    </comment>
    <comment authorId="0" ref="E791">
      <text>
        <t xml:space="preserve">1 PL (1) and 5 PG (0,75)
According to template.</t>
      </text>
    </comment>
    <comment authorId="0" ref="E795">
      <text>
        <t xml:space="preserve">23/24 Lowered due to outcome
- 100 ticket x 150 kr banquet
- 100 ticket x 70 kr after parry
</t>
      </text>
    </comment>
    <comment authorId="0" ref="E796">
      <text>
        <t xml:space="preserve">Bar revenues, margin 90%
Only bar sales during the event
23/24 Lowered due to outcome
</t>
      </text>
    </comment>
    <comment authorId="0" ref="E797">
      <text>
        <t xml:space="preserve">Alcohol for the bar sales. 
22/23 Increased prices in the bar
</t>
      </text>
    </comment>
    <comment authorId="0" ref="E798">
      <text>
        <t xml:space="preserve">Marshal costs include necessities such as food, snacks and drinks.
According to new template 22/23
6 people working group 
10 marshals
1 dj
2 photographers</t>
      </text>
    </comment>
    <comment authorId="0" ref="E799">
      <text>
        <t xml:space="preserve">Plaque for winning team on the BoN trophy</t>
      </text>
    </comment>
    <comment authorId="0" ref="E800">
      <text>
        <t xml:space="preserve">Arrangements for the Battle, e.g games + fences for party
</t>
      </text>
    </comment>
    <comment authorId="0" ref="E801">
      <text>
        <t xml:space="preserve">Food for the banquet: 120*100sek
23/24 Lowered due to nr of guest
</t>
      </text>
    </comment>
    <comment authorId="0" ref="E802">
      <text>
        <t xml:space="preserve">Decoration of the Rotunda
23/24 Lowered due to outcome</t>
      </text>
    </comment>
    <comment authorId="0" ref="E803">
      <text>
        <t xml:space="preserve">22/23 Guards added 
3 during banquet 3h
4 during after party 5h
</t>
      </text>
    </comment>
    <comment authorId="0" ref="E804">
      <text>
        <t xml:space="preserve">Transaction fees for ticket sales. 
12,5 sek a 120 for banquet 
7 sek a 130 for banquet
</t>
      </text>
    </comment>
    <comment authorId="0" ref="E807">
      <text>
        <t xml:space="preserve">DISCLAIMER: All increased costs are taken from project 18XX17 account 4010.</t>
      </text>
    </comment>
    <comment authorId="0" ref="E809">
      <text>
        <t xml:space="preserve">Gifts for guest lecturers
</t>
      </text>
    </comment>
    <comment authorId="0" ref="E810">
      <text>
        <t xml:space="preserve">Removed 21/22
</t>
      </text>
    </comment>
    <comment authorId="0" ref="E811">
      <text>
        <t xml:space="preserve">Workwear according to template. 2 PL (0.75), 4 PG (0,5)</t>
      </text>
    </comment>
    <comment authorId="0" ref="E812">
      <text>
        <t xml:space="preserve">Costs for lunch for 40 participants á 75 kr /lunch á 3 lecture.
22/23 moved from 14xx08 SMUN: 10 people gets fika for 3 discussion meetings
</t>
      </text>
    </comment>
    <comment authorId="0" ref="E813">
      <text>
        <t xml:space="preserve">Meetings handover according to template. 2 PL (0,75) 4 PG (0,5)
</t>
      </text>
    </comment>
    <comment authorId="0" ref="E814">
      <text>
        <t xml:space="preserve">Internal meetings according to template. 2 PL (0.75), 4 PG (0.5) 
</t>
      </text>
    </comment>
    <comment authorId="0" ref="E818">
      <text>
        <t xml:space="preserve">Sponsorship revenue in line with similar projects.
Moved from 20xx15 as part of wider reform of UU</t>
      </text>
    </comment>
    <comment authorId="0" ref="E819">
      <text>
        <t xml:space="preserve">Removed in 19/20 according to template 18/19
Moved from 20xx15 as part of wider reform of UU
</t>
      </text>
    </comment>
    <comment authorId="0" ref="E820">
      <text>
        <t xml:space="preserve">Workwear according to template. 2 PL (0.75)
</t>
      </text>
    </comment>
    <comment authorId="0" ref="E821">
      <text>
        <t xml:space="preserve">Moved to central 142100
</t>
      </text>
    </comment>
    <comment authorId="0" ref="E822">
      <text>
        <t xml:space="preserve">Reduced due to new numbers of participants and Workshops. 15*20 kr for start up session with mentors. 4*40*20 kr for 4 Workshops with fika. All this is *2 due to two periods with identical set ups. (15*20+4*40*20)*2=7000 kr
One dinner for 15 people a 120 kr. 15*120 = 1800 kr
21/22
 Decreased due to Corona,</t>
      </text>
    </comment>
    <comment authorId="0" ref="E823">
      <text>
        <t xml:space="preserve">Meetings handover according to template. 2 * PL (0.75)
</t>
      </text>
    </comment>
    <comment authorId="0" ref="E824">
      <text>
        <t xml:space="preserve">According to template.
2 * PL (0.75) + 15 Mentors (0.25) 
</t>
      </text>
    </comment>
    <comment authorId="0" ref="E828">
      <text>
        <t xml:space="preserve">2 meet up for the buddy and international student
2 * 60 Pers * 120 SEK = 14 400
23/24 changed the number of people and price</t>
      </text>
    </comment>
    <comment authorId="0" ref="E832">
      <text>
        <t xml:space="preserve">Fika for a feedback session with 40 international students twice a year at the BE program. 500 sek for fika during the session. 
22/23 changed to a big session instead of individual sessions</t>
      </text>
    </comment>
    <comment authorId="0" ref="E841">
      <text>
        <t xml:space="preserve">Sponsorship revenue generated from Committee Sponsor á 80 000 a year. 
23/24 Removed as no sponsor was signed</t>
      </text>
    </comment>
    <comment authorId="0" ref="E842">
      <text>
        <t xml:space="preserve">Ticket revenue for internal committee events, "Skiften", "Prövningar" etc.</t>
      </text>
    </comment>
    <comment authorId="0" ref="E843">
      <text>
        <t xml:space="preserve">Costs associated with internal committee events, "Skiften", "Prövningar" etc. </t>
      </text>
    </comment>
    <comment authorId="0" ref="E844">
      <text>
        <t xml:space="preserve">1000 kr for buying treats during the introductory week; Bachelors, Masters and Exchange. </t>
      </text>
    </comment>
    <comment authorId="0" ref="E845">
      <text>
        <t xml:space="preserve">Removed in 19/20 as part of the new template</t>
      </text>
    </comment>
    <comment authorId="0" ref="E846">
      <text>
        <t xml:space="preserve">Costs for "skiften", internal festivites and other similar arrangements. 
30% of total internal meetings for the profit center. Increased due to costs for renting Enoksro.
Part of new template 18/19.</t>
      </text>
    </comment>
    <comment authorId="0" ref="E847">
      <text>
        <t xml:space="preserve">Workwear according to template.
Clothes for the board 7*530+7*80 SEK.
22/23 increase members in board</t>
      </text>
    </comment>
    <comment authorId="0" ref="E848">
      <text>
        <t xml:space="preserve">Posters for marketing of MedU events, MedU-pins and roll-up.
800 for for printing and stickers
</t>
      </text>
    </comment>
    <comment authorId="0" ref="E849">
      <text>
        <t xml:space="preserve">Education or arrangements to improve the committee board's ability to work. Can be used for internal education, books, conferences, etc. </t>
      </text>
    </comment>
    <comment authorId="0" ref="E850">
      <text>
        <t xml:space="preserve">Food that MedU paid for events that should been paid by Halvarsson Halvarsson 
Matched with cost from 4076
23/24 Zeroed due to sponsor change</t>
      </text>
    </comment>
    <comment authorId="0" ref="E851">
      <text>
        <t xml:space="preserve">2.000 - Snacks for workshops and other similar events connected to the media committee's purpose
Moved from 15xx06 22/23
23/24 Lowered due to change in sponsor</t>
      </text>
    </comment>
    <comment authorId="0" ref="E852">
      <text>
        <t xml:space="preserve">Annual meetings and hand-overs with previous Media Committee Presidents such as "Patetmiddagar". 
500 SEK for collab predecessor-events with board</t>
      </text>
    </comment>
    <comment authorId="0" ref="E853">
      <text>
        <t xml:space="preserve">Meetings with regards to Committee President post descriptions. </t>
      </text>
    </comment>
    <comment authorId="0" ref="E854">
      <text>
        <t xml:space="preserve">Meetings handover according to template. 
6 Committee Board Members (1,75) President (3).</t>
      </text>
    </comment>
    <comment authorId="0" ref="E855">
      <text>
        <t xml:space="preserve">Costs associated with meetings and gatherings with the board. Internal meetings for projects allocated under each project. 
According to new template.
 2festisar*100+6*600 + 1*1000 SEK</t>
      </text>
    </comment>
    <comment authorId="0" ref="E856">
      <text>
        <t xml:space="preserve">Costs for buying furniture and decorations for maintaining a good standard of the committee room.</t>
      </text>
    </comment>
    <comment authorId="0" ref="E857">
      <text>
        <t xml:space="preserve">Costs for extending the yearly Adobe License. 2 * 3200 SEK 
(use the student discount!) 
Sound editing software for HandelsTV. 1200 SEK
Picture/movie editing software for HandelsTV. 2070 SEK
Yearly subscription of Vimeo account used for HandelsTV á 900 SEK. 
License for Canva PRO 1300*2 SEK
License for the Drone 135 SEK
21/22 Moved Vimeo from 6991and added Canva Pro and Drone
23/24 Drone cost increase and adobe license increase</t>
      </text>
    </comment>
    <comment authorId="0" ref="E858">
      <text>
        <t xml:space="preserve">Equipment for producing creative material such as cameras, tripods, soft boxes, memory cards, battery charges, batteries, microphones, tapes, props, light, sound, studio equipment, drawing/painting equipment and maintenance of cameras.
22/23 Decreased back to normal year
23/24 Decrease due to outcome</t>
      </text>
    </comment>
    <comment authorId="0" ref="E859">
      <text>
        <t xml:space="preserve">Dustbags and cleaning material. Removed due to account moved to SASSE Vice President. </t>
      </text>
    </comment>
    <comment authorId="0" ref="E860">
      <text>
        <t xml:space="preserve">Costs associated with the participation of Hallvarsson &amp; Halvarsson at certain events or meeting costs. 
23/24 Zeroed due to change in sponsor</t>
      </text>
    </comment>
    <comment authorId="0" ref="E861">
      <text>
        <t xml:space="preserve">MC Board representation at M2 banquet 7*450
MC board beerpong tournament 4 occasions*295SEK connected to 15xx15
23/24 Added TedX event for 7 members
</t>
      </text>
    </comment>
    <comment authorId="0" ref="E862">
      <text>
        <t xml:space="preserve">Telephone for Media Committee President, 100 SEK for keeping number. Removed 14/15 due to no need. </t>
      </text>
    </comment>
    <comment authorId="0" ref="E863">
      <text>
        <t xml:space="preserve">Yearly fee for the registration of Media Committee President as legally responsible publisher of Minimax and other SASSE publications á 600 SEK.  
</t>
      </text>
    </comment>
    <comment authorId="0" ref="E864">
      <text>
        <t xml:space="preserve">Transaction fees for ticket sales. 
21/22: zeroed as transaction fees should simply be taken into account when accounting for ticket revenue</t>
      </text>
    </comment>
    <comment authorId="0" ref="E868">
      <text>
        <t xml:space="preserve">Advertising from the SASSE partner companies included in their contract.</t>
      </text>
    </comment>
    <comment authorId="0" ref="E869">
      <text>
        <t xml:space="preserve">19/20: A head of advertising will be appointed in order to sell adverts in the magazine
20/21: Removed external adverts until it is confirmed.</t>
      </text>
    </comment>
    <comment authorId="0" ref="E870">
      <text>
        <t xml:space="preserve">Sales associated with printing and mailing of all issues to the SSE Alumni Club. Based on the signed agreement between Alumni Club and MedU. 2 issues á 1961 st. 
Printing for two issues: 2*21 000 SEK (Connected to 4063)
Mailing of two issues: 2*19 500 SEK (Connected to 6250)
Removed since we no longer have a collaboration with the Alumni Club.
</t>
      </text>
    </comment>
    <comment authorId="0" ref="E871">
      <text>
        <t xml:space="preserve">Costs associated with release events in the Atrium. 200 sek x 4 issues
23/24 Increase due to outcome and inflation</t>
      </text>
    </comment>
    <comment authorId="0" ref="E872">
      <text>
        <t xml:space="preserve">Workwear according to template 
Clothes for the editorial team. 
1 PL (1.25), 1 VicePL (1.00), 16 PG (0.75)
4 PG Half Year (0,25)
23/24 Reduced due to error in the calculation of Kårpoäng</t>
      </text>
    </comment>
    <comment authorId="0" ref="E873">
      <text>
        <t xml:space="preserve">Printing of magazines. 
4 issues with 40 magazines 
 = 4500 á 4 = 18 000 SEK
</t>
      </text>
    </comment>
    <comment authorId="0" ref="E874">
      <text>
        <t xml:space="preserve">According to new template 21/22 
1 PL (1,25), 1 VicePL (1), 16 PG (0,75)</t>
      </text>
    </comment>
    <comment authorId="0" ref="E875">
      <text>
        <t xml:space="preserve">According to new template 21/22 
1 PL (1,25), 1 VicePL (), 16 PG (0,75) 4 Half Year PG (0,25)</t>
      </text>
    </comment>
    <comment authorId="0" ref="E876">
      <text>
        <t xml:space="preserve">Cost of 290 SEK á month for webpage, 12 month 
Minimax Domän 1200 sek
23/24 Increase due to outcome</t>
      </text>
    </comment>
    <comment authorId="0" ref="E877">
      <text>
        <t xml:space="preserve">Costs for external meetings and interviews.
</t>
      </text>
    </comment>
    <comment authorId="0" ref="E878">
      <text>
        <t xml:space="preserve">Removed 20/21 since we don't send out the magazine since 19/20.</t>
      </text>
    </comment>
    <comment authorId="0" ref="E882">
      <text>
        <t xml:space="preserve">4 companies á 15 000 SEK
22/23 decreased due to difficulties signing companies. </t>
      </text>
    </comment>
    <comment authorId="0" ref="E883">
      <text>
        <t xml:space="preserve">Removed in 19/20 as the advertisement will be included in the main deal</t>
      </text>
    </comment>
    <comment authorId="0" ref="E884">
      <text>
        <t xml:space="preserve">Rent of tables to companies and stations and other equipment for the fair. Around 400 SEK a´company.  (Removed 18/19 since there will be no fair)</t>
      </text>
    </comment>
    <comment authorId="0" ref="E885">
      <text>
        <t xml:space="preserve">Marshall costs for hosts, volunteers and project members during the fair (15*40+2*3*100 = 1200)
15 marshals à half day
2 marshals for 3 days à full day
19/20: removed as there will be no fair</t>
      </text>
    </comment>
    <comment authorId="0" ref="E886">
      <text>
        <t xml:space="preserve">Gifts to speakers (8 á 100 kr each). Removed 18/19 since it felt unnecessary
23/24 Added gifts for 4 speakers</t>
      </text>
    </comment>
    <comment authorId="0" ref="E887">
      <text>
        <t xml:space="preserve">Arrangements during M2 week and warm-up events ie. magazine release. 1000 SEK
20 000 removed as it was reserved for covering for losses of M2 party 19/20</t>
      </text>
    </comment>
    <comment authorId="0" ref="E888">
      <text>
        <t xml:space="preserve">Clothes for project group. 
2 PL (1) + 8 PG (0,75)
Template</t>
      </text>
    </comment>
    <comment authorId="0" ref="E889">
      <text>
        <t xml:space="preserve">Roll-up 22/23</t>
      </text>
    </comment>
    <comment authorId="0" ref="E890">
      <text>
        <t xml:space="preserve">Invitations to companies, posters and other small events as well as additional cost of roll-up á 800 SEK.</t>
      </text>
    </comment>
    <comment authorId="0" ref="E891">
      <text>
        <t xml:space="preserve">Account for companies sponsored food. Correlates to 4076
23/24 Increased due to 4 lunch lectures</t>
      </text>
    </comment>
    <comment authorId="0" ref="E892">
      <text>
        <t xml:space="preserve">Correlated to 3076 food for events paid by sponsors
23/24 Increased due to 4 lunch lecutres</t>
      </text>
    </comment>
    <comment authorId="0" ref="E893">
      <text>
        <t xml:space="preserve">Decorations to the student lounge and other warm-up events.
23/24 Added back due to afterparty at Rosendals</t>
      </text>
    </comment>
    <comment authorId="0" ref="E894">
      <text>
        <t xml:space="preserve">Meetings handover according to template .
2 PL (1) + 8 PG (0,75)</t>
      </text>
    </comment>
    <comment authorId="0" ref="E895">
      <text>
        <t xml:space="preserve">According to new template 21/22. 
2 PL (1) + 8 PG (0,75)</t>
      </text>
    </comment>
    <comment authorId="0" ref="E896">
      <text>
        <t xml:space="preserve">Cleaning of the atrium. Removed 14/15 (not necessary)</t>
      </text>
    </comment>
    <comment authorId="0" ref="E897">
      <text>
        <t xml:space="preserve">Coffee cups, pencils etc. Removed 18/19 (possible to get sponsored)</t>
      </text>
    </comment>
    <comment authorId="0" ref="E898">
      <text>
        <t xml:space="preserve">Gasoline, parking and other transportation costs.</t>
      </text>
    </comment>
    <comment authorId="0" ref="E902">
      <text>
        <t xml:space="preserve">35 guests banquet à 450 SEK 
22/23 decreased due to outcome</t>
      </text>
    </comment>
    <comment authorId="0" ref="E903">
      <text>
        <t xml:space="preserve">Board internal ticket revenue
PG internal ticket revenue
7*450 connected to 6071 15xx00
10*450 connected to 6071 15xx12
</t>
      </text>
    </comment>
    <comment authorId="0" ref="E904">
      <text>
        <t xml:space="preserve">Internal ticket revenue for PG during the event
Moved to 3014 
</t>
      </text>
    </comment>
    <comment authorId="0" ref="E905">
      <text>
        <t xml:space="preserve">None needed due to external location</t>
      </text>
    </comment>
    <comment authorId="0" ref="E906">
      <text>
        <t xml:space="preserve">Zeroed due to external location
20/21</t>
      </text>
    </comment>
    <comment authorId="0" ref="E907">
      <text>
        <t xml:space="preserve">No bar sales due to external location</t>
      </text>
    </comment>
    <comment authorId="0" ref="E908">
      <text>
        <t xml:space="preserve">No bar sales due to external location</t>
      </text>
    </comment>
    <comment authorId="0" ref="E909">
      <text>
        <t xml:space="preserve">Venue hire that includes food and everything for 90 guests á 838 SEK/guest + 50 guests after party á 140 SEK</t>
      </text>
    </comment>
    <comment authorId="0" ref="E910">
      <text>
        <t xml:space="preserve">None needed due to external location</t>
      </text>
    </comment>
    <comment authorId="0" ref="E911">
      <text>
        <t xml:space="preserve">Tickets to the project group (10 people á 450 SEK)</t>
      </text>
    </comment>
    <comment authorId="0" ref="E912">
      <text>
        <t xml:space="preserve">No guards needed due to external location</t>
      </text>
    </comment>
    <comment authorId="0" ref="E913">
      <text>
        <t xml:space="preserve">Nortic fees calculated 35*1,25</t>
      </text>
    </comment>
    <comment authorId="0" ref="E917">
      <text>
        <t xml:space="preserve">T-shirts used during events, Will be brought to use in several years forward. 10 T-shirts in different sizes
21/22 Zeroed since this is already bought
</t>
      </text>
    </comment>
    <comment authorId="0" ref="E918">
      <text>
        <t xml:space="preserve">Marshal costs include necessities such as food, snacks and drinks. 
2 persons * 20 events (10 half day + 10 full day) = 2800 (may only be used for internal sasse events, max 100 sek/person/event)</t>
      </text>
    </comment>
    <comment authorId="0" ref="E919">
      <text>
        <t xml:space="preserve">Printing photos. Moved to MedU Centralt 2014/15.</t>
      </text>
    </comment>
    <comment authorId="0" ref="E920">
      <text>
        <t xml:space="preserve">Workwear according to template
Clothes for the 2 PL (1) and 4 PG (0,5) 
23/24 Reduced 2 PG due to collaboration with HandelsTV</t>
      </text>
    </comment>
    <comment authorId="0" ref="E921">
      <text>
        <t xml:space="preserve">Removed 2013/14 due to costs moved to those projects and parties in need of photographers.</t>
      </text>
    </comment>
    <comment authorId="0" ref="E922">
      <text>
        <t xml:space="preserve">Meetings handover according to template.
2 PL (1), 4 PG (0,5)
23/24 Added one PL and reduced 2 PG</t>
      </text>
    </comment>
    <comment authorId="0" ref="E923">
      <text>
        <t xml:space="preserve">According to new template. 1 PL (0,75), 5 PG (0,5)</t>
      </text>
    </comment>
    <comment authorId="0" ref="E927">
      <text>
        <t xml:space="preserve">Clothes for the HTV project group, 2 PL(1)
22/23 Decreased due to no interest 22/23
</t>
      </text>
    </comment>
    <comment authorId="0" ref="E928">
      <text>
        <t xml:space="preserve">Clothes, decorations and other props for HTV films.
22/23 Decreased due to no interest 22/23</t>
      </text>
    </comment>
    <comment authorId="0" ref="E929">
      <text>
        <t xml:space="preserve">Approx 15 film recordings and editing a year
22/23 Decreased due to no interest 22/23</t>
      </text>
    </comment>
    <comment authorId="0" ref="E930">
      <text>
        <t xml:space="preserve">Meetings handover according to template. 2 PL (1)
22/23 Decreased due to no interest 22/23</t>
      </text>
    </comment>
    <comment authorId="0" ref="E931">
      <text>
        <t xml:space="preserve">According to new template.
2 PL (1)
22/23 Decreased due to no interest 22/23</t>
      </text>
    </comment>
    <comment authorId="0" ref="E932">
      <text>
        <t xml:space="preserve">Cost for license for drone 12 month 130 SEK per person á 2. 
22/23 Decreased due to no interest 22/23</t>
      </text>
    </comment>
    <comment authorId="0" ref="E936">
      <text>
        <t xml:space="preserve">Revenue from advertisment
23/24 Added back</t>
      </text>
    </comment>
    <comment authorId="0" ref="E937">
      <text>
        <t xml:space="preserve">Rollup for event
23/24 Added back to the budget</t>
      </text>
    </comment>
    <comment authorId="0" ref="E942">
      <text>
        <t xml:space="preserve">Cost for e.g. online courses. 
</t>
      </text>
    </comment>
    <comment authorId="0" ref="E943">
      <text>
        <t xml:space="preserve">Snacks for workshops and other similar events connected to the media committee's purpose
Moved to 15xx00 22/23</t>
      </text>
    </comment>
    <comment authorId="0" ref="E947">
      <text>
        <t xml:space="preserve">2 sponsors * 15 000 each
23/24 Increase revenue from sponsorship</t>
      </text>
    </comment>
    <comment authorId="0" ref="E948">
      <text>
        <t xml:space="preserve">22/23
100 people á 110 SEK
23/24 Increased ticket price</t>
      </text>
    </comment>
    <comment authorId="0" ref="E949">
      <text>
        <t xml:space="preserve">22/23 Bar sales added for drinks for pre event and Increased prices in the bar
</t>
      </text>
    </comment>
    <comment authorId="0" ref="E950">
      <text>
        <t xml:space="preserve">Drinks for the main event. Moved to Food &amp; Drinks 14/15. (outcome)
22/23 Added for drinks for pre event.</t>
      </text>
    </comment>
    <comment authorId="0" ref="E951">
      <text>
        <t xml:space="preserve">Gifts for speakers, 6*100.</t>
      </text>
    </comment>
    <comment authorId="0" ref="E952">
      <text>
        <t xml:space="preserve">Clothes for the project group, 10*200 SEK.</t>
      </text>
    </comment>
    <comment authorId="0" ref="E953">
      <text>
        <t xml:space="preserve">Flyers, posters, marketing. 500 SEK</t>
      </text>
    </comment>
    <comment authorId="0" ref="E954">
      <text>
        <t xml:space="preserve">Flyers, posters, marketing.
Moved to 4063</t>
      </text>
    </comment>
    <comment authorId="0" ref="E955">
      <text>
        <t xml:space="preserve">Food &amp; snacks for the event for 100 attendees</t>
      </text>
    </comment>
    <comment authorId="0" ref="E956">
      <text>
        <t xml:space="preserve">Decorations for the stage to make a proffesional venue. 1000 SEK
</t>
      </text>
    </comment>
    <comment authorId="0" ref="E957">
      <text>
        <t xml:space="preserve">Meetings handover according to template . 2 PL (1,0), 8 PG (0,75)</t>
      </text>
    </comment>
    <comment authorId="0" ref="E958">
      <text>
        <t xml:space="preserve">According to new template . 2 PL (1), 8 PG (0,75)</t>
      </text>
    </comment>
    <comment authorId="0" ref="E959">
      <text>
        <t xml:space="preserve">Recuring cost for mat cleaning 
22/23 Added cleaning for atrium.</t>
      </text>
    </comment>
    <comment authorId="0" ref="E960">
      <text>
        <t xml:space="preserve">Rental of cameras, microphones, lights and other equipment needed.</t>
      </text>
    </comment>
    <comment authorId="0" ref="E961">
      <text>
        <t xml:space="preserve">Corresponds to 3014</t>
      </text>
    </comment>
    <comment authorId="0" ref="E962">
      <text>
        <t xml:space="preserve">Transaction fees for ticket sales. Updated for Nortic
22/23 6,25x100 tickets </t>
      </text>
    </comment>
    <comment authorId="0" ref="E966">
      <text>
        <t xml:space="preserve">Costs associated for organising the day. Removed 16/17
</t>
      </text>
    </comment>
    <comment authorId="0" ref="E967">
      <text>
        <t xml:space="preserve">Lunch for 50 people á 50 kr. + Snacks and beverage for fair. Removed 16/17</t>
      </text>
    </comment>
    <comment authorId="0" ref="E968">
      <text>
        <t xml:space="preserve">Candels, cloths and other decorations. Moved 2014 from Dekorationer. Removed 16/17</t>
      </text>
    </comment>
    <comment authorId="0" ref="E972">
      <text>
        <t xml:space="preserve">According to new template.  2 PG (0,25)
22/23 PG</t>
      </text>
    </comment>
    <comment authorId="0" ref="E973">
      <text>
        <t xml:space="preserve">Costs for external meetings.</t>
      </text>
    </comment>
    <comment authorId="0" ref="E974">
      <text>
        <t xml:space="preserve">Licenses for e.g Spreaker etc.
</t>
      </text>
    </comment>
    <comment authorId="0" ref="E978">
      <text>
        <t xml:space="preserve">Project removed 18/19</t>
      </text>
    </comment>
    <comment authorId="0" ref="E979">
      <text>
        <t xml:space="preserve">Project removed 18/19
</t>
      </text>
    </comment>
    <comment authorId="0" ref="E980">
      <text>
        <t xml:space="preserve">Project removed 18/19
</t>
      </text>
    </comment>
    <comment authorId="0" ref="E981">
      <text>
        <t xml:space="preserve">Project removed 18/19
</t>
      </text>
    </comment>
    <comment authorId="0" ref="E982">
      <text>
        <t xml:space="preserve">Transaction fees for ticket sales</t>
      </text>
    </comment>
    <comment authorId="0" ref="E986">
      <text>
        <t xml:space="preserve">Fika for students participating in the interviews (40 SEK, 10 interviews)
Removed 22/23</t>
      </text>
    </comment>
    <comment authorId="0" ref="E987">
      <text>
        <t xml:space="preserve">According to new template.  2 PG (0,25)
Removed 22/23</t>
      </text>
    </comment>
    <comment authorId="0" ref="E991">
      <text>
        <t xml:space="preserve">Workwear according to template.
 2 PL (0,5) á 200 sek
</t>
      </text>
    </comment>
    <comment authorId="0" ref="E992">
      <text>
        <t xml:space="preserve">Marketing for events
21/22 Centeralized under 152000</t>
      </text>
    </comment>
    <comment authorId="0" ref="E993">
      <text>
        <t xml:space="preserve">Fika for debates: approx 25 events
22/23 removed 2 lectures, inspriational due to not used </t>
      </text>
    </comment>
    <comment authorId="0" ref="E994">
      <text>
        <t xml:space="preserve">Meetings handover with successor and predecessor to encourage a smooth tranistion, according to template 20/21. 2 PL (0.5)  
</t>
      </text>
    </comment>
    <comment authorId="0" ref="E995">
      <text>
        <t xml:space="preserve">According to new template. 
2 PL (0.5)
</t>
      </text>
    </comment>
    <comment authorId="0" ref="E996">
      <text>
        <t xml:space="preserve">Travel to debate competition to Riga for 2 PL (ferry to Riga)
Removed 22/23
</t>
      </text>
    </comment>
    <comment authorId="0" ref="E997">
      <text>
        <t xml:space="preserve">Participation fee debate competition in Riga for 7 participants (700 kr each)
Removed 22/23
</t>
      </text>
    </comment>
    <comment authorId="0" ref="E1001">
      <text>
        <t xml:space="preserve">1 Company pays 5000 SEK
21/22 removed sponsorship due to outcome. 
</t>
      </text>
    </comment>
    <comment authorId="0" ref="E1002">
      <text>
        <t xml:space="preserve">Gift to speakers (2*100)
23/24 Decrease to two lectures</t>
      </text>
    </comment>
    <comment authorId="0" ref="E1003">
      <text>
        <t xml:space="preserve">22/23 
Cost for 2 lectures. first 25 signups á 75 SEK according to template
23/24 Decreased to two lectures</t>
      </text>
    </comment>
    <comment authorId="0" ref="E1004">
      <text>
        <t xml:space="preserve">2 PG (0,25) á 100 kr
</t>
      </text>
    </comment>
    <comment authorId="0" ref="E1008">
      <text>
        <t xml:space="preserve">7 groups a' 5 people = total 40 people, 2 times a year
23/24 Decreased to 2 times a year</t>
      </text>
    </comment>
    <comment authorId="0" ref="E1009">
      <text>
        <t xml:space="preserve">Barsales
22/23 Increased prices in the bar
</t>
      </text>
    </comment>
    <comment authorId="0" ref="E1010">
      <text>
        <t xml:space="preserve">Beerpong balls and mugs
22/23 Decreased to 2 times a year</t>
      </text>
    </comment>
    <comment authorId="0" ref="E1011">
      <text>
        <t xml:space="preserve">Drinks to be sold in the bar
22/23 Decreased to 2 times a year</t>
      </text>
    </comment>
    <comment authorId="0" ref="E1012">
      <text>
        <t xml:space="preserve">Gifts for winners 2*250 SEK
23/24 Decreased to 2 times and increased price money</t>
      </text>
    </comment>
    <comment authorId="0" ref="E1013">
      <text>
        <t xml:space="preserve">Food and drinks for the events
23/24 Decreased to 2 times a year</t>
      </text>
    </comment>
    <comment authorId="0" ref="E1014">
      <text>
        <t xml:space="preserve">Transaction fees: 12,5*7*4
22/23 Decreased to 3 times a year</t>
      </text>
    </comment>
    <comment authorId="0" ref="E1023">
      <text>
        <t xml:space="preserve">Revenue from auctioning the computersscreens in the committee room to students 12 * 200 SEK
</t>
      </text>
    </comment>
    <comment authorId="0" ref="E1024">
      <text>
        <t xml:space="preserve">Ticket revenue for internal committee events, "Skiften", "Prövningar" etc.
</t>
      </text>
    </comment>
    <comment authorId="0" ref="E1025">
      <text>
        <t xml:space="preserve">“Internal Ticket revenues for the SASSE Board and Tech Committee Board à 375 SEK each ( 375 * 16 = 6 000 SEK)</t>
      </text>
    </comment>
    <comment authorId="0" ref="E1026">
      <text>
        <t xml:space="preserve">No definitive sponsor yet</t>
      </text>
    </comment>
    <comment authorId="0" ref="E1027">
      <text>
        <t xml:space="preserve">Cost to purchase computers from leasing company
No longer relevant in 20/21</t>
      </text>
    </comment>
    <comment authorId="0" ref="E1028">
      <text>
        <t xml:space="preserve">1000 kr for buying treats during the introductory week; Bachelors, Masters and Exchange. </t>
      </text>
    </comment>
    <comment authorId="0" ref="E1029">
      <text>
        <t xml:space="preserve">Moved to 4050 in 18/19.</t>
      </text>
    </comment>
    <comment authorId="0" ref="E1030">
      <text>
        <t xml:space="preserve">Costs for "skiften", internal festivites and other similar arrangements. 
30% of total internal meetings for the profit center. Increased due to costs for renting Enoksro.
Part of new template 18/19.</t>
      </text>
    </comment>
    <comment authorId="0" ref="E1031">
      <text>
        <t xml:space="preserve">Sweaters for the Tech Committee Board and t-shirts for the Project Leaders. Workwear according to template. 1 KS (3), Head of web (2) 1 Board (1,75)
23/24 Removed cost of pins as it was one time cost</t>
      </text>
    </comment>
    <comment authorId="0" ref="E1032">
      <text>
        <t xml:space="preserve">Printing costs for marketing of events.</t>
      </text>
    </comment>
    <comment authorId="0" ref="E1033">
      <text>
        <t xml:space="preserve">Education or arrangements to improve the committee board's ability to work. Can be used for internal education, books, conferences, etc. </t>
      </text>
    </comment>
    <comment authorId="0" ref="E1034">
      <text>
        <t xml:space="preserve">Much of the Tech Committee’s support work must be done at night, on weekends, and in the summer. This post is to cover food and drinks cost during these support shifts.
20/21: removed as this is unreasonable</t>
      </text>
    </comment>
    <comment authorId="0" ref="E1035">
      <text>
        <t xml:space="preserve">Meetings with predecessors, e.g. patetmiddagar. Standard sum for all committees.
500 SEK for collab predecessor-events with board</t>
      </text>
    </comment>
    <comment authorId="0" ref="E1036">
      <text>
        <t xml:space="preserve">Meetings with regards to post descriptions. According to template 18/19. Committee President 1000 SEK.</t>
      </text>
    </comment>
    <comment authorId="0" ref="E1037">
      <text>
        <t xml:space="preserve">Handover meetings for the Tech Committee Board with successor and predecessor to encourage a smooth transition. Meetings handover according to template. 1 KS (3), Head of web (2), 4 Board (1,75)
Handover meetings for the TechU Board </t>
      </text>
    </comment>
    <comment authorId="0" ref="E1038">
      <text>
        <t xml:space="preserve">Costs associated with meetings and gatherings with the Tech Committee. According to new template. 1 KS (3), Head of web(2) 4 Board (1,75).
Internal meetings for the Tech Committee Board 1000+5x500=3500
23/24 Removed 2 0,25 roles</t>
      </text>
    </comment>
    <comment authorId="0" ref="E1039">
      <text>
        <t xml:space="preserve">Moyagi Venue hire for 84 people à 350 SEK each (350 * 84 = 29 400 SEK
Removed 22/23</t>
      </text>
    </comment>
    <comment authorId="0" ref="E1040">
      <text>
        <t xml:space="preserve">Accessories for the Tech Committee premises. Standard sum for all committees.</t>
      </text>
    </comment>
    <comment authorId="0" ref="E1041">
      <text>
        <t xml:space="preserve">Leasing costs for hardware, including computers and monitors. Moved to 161807 IT infrastructure in 18/19</t>
      </text>
    </comment>
    <comment authorId="0" ref="E1042">
      <text>
        <t xml:space="preserve">Licensing and purchasing of software
Apple Developer Program 1000.
Tech Committee gaming equipment software and games 2x1000=2000.
22/23 Increased for this year due to broken equipment 
</t>
      </text>
    </comment>
    <comment authorId="0" ref="E1043">
      <text>
        <t xml:space="preserve">Utilities needed in the Tech Committee Board's work.
Standard sum for all committees.
Removed 13/14 due to centralizing, the cost is now located in the vice president's budget.</t>
      </text>
    </comment>
    <comment authorId="0" ref="E1044">
      <text>
        <t xml:space="preserve">Equipment purchases like routers, switches, cables and other technical equipment and accessories. 
22/23 increased due to outcome earlier years
</t>
      </text>
    </comment>
    <comment authorId="0" ref="E1045">
      <text>
        <t xml:space="preserve">Removed 22/23</t>
      </text>
    </comment>
    <comment authorId="0" ref="E1047">
      <text>
        <t xml:space="preserve">Moved to IT Infrastructure in 18/19.</t>
      </text>
    </comment>
    <comment authorId="0" ref="E1048">
      <text>
        <t xml:space="preserve">Moved to SASSE Website in 18/19.</t>
      </text>
    </comment>
    <comment authorId="0" ref="E1052">
      <text>
        <t xml:space="preserve">Project removed in 18/19</t>
      </text>
    </comment>
    <comment authorId="0" ref="E1053">
      <text>
        <t xml:space="preserve">Domains, backup and Web hosting. Moved to SASSE Web Community in 18/19</t>
      </text>
    </comment>
    <comment authorId="0" ref="E1057">
      <text>
        <t xml:space="preserve">Meetings with students for evaluating the new website, only a cost for 23/24. </t>
      </text>
    </comment>
    <comment authorId="0" ref="E1058">
      <text>
        <t xml:space="preserve">Estimated server rental costs (Cygate) for the main website.
Monthly payments of various sizes depending on website traffic.
</t>
      </text>
    </comment>
    <comment authorId="0" ref="E1059">
      <text>
        <t xml:space="preserve">Domain fees for the main website, subdomains and other SASSE related domains (Loopia). 186,25 per month
Multiple annual payments of various sizes.</t>
      </text>
    </comment>
    <comment authorId="0" ref="E1060">
      <text>
        <t xml:space="preserve">Estimated annual costs for the integration of a payment function (Nets) and payment registration at our bank (Bambora).
Monthly payments of various sizes depending on service frequency.
23/24 Increased due to outcome</t>
      </text>
    </comment>
    <comment authorId="0" ref="E1061">
      <text>
        <t xml:space="preserve">Costs for the service agreement (Awave) for the main website. 
Monthly payments of 2875, 12x2875=34500.</t>
      </text>
    </comment>
    <comment authorId="0" ref="E1062">
      <text>
        <t xml:space="preserve">Additional costs for developing and implementing new functions on the website (Awave).
23/24 Increased due to costs for developing the new website
</t>
      </text>
    </comment>
    <comment authorId="0" ref="E1063">
      <text>
        <t xml:space="preserve">Depreciation of the SASSE website.
See VKO New Investments &amp; Depreciations</t>
      </text>
    </comment>
    <comment authorId="0" ref="E1067">
      <text>
        <t xml:space="preserve">Ticket revenue from activities arranged by the Tech Committee.</t>
      </text>
    </comment>
    <comment authorId="0" ref="E1068">
      <text>
        <t xml:space="preserve">Costs for arranging different kinds of informational and educational events  (lectures, workshops, etc.) with a tech focus.
22/23 moved food and drinks to 4076 instead.</t>
      </text>
    </comment>
    <comment authorId="0" ref="E1069">
      <text>
        <t xml:space="preserve">Workwear according to template 18/19.
SASSE Fintech: 2 PL (0,5)
21/22 decreased kårpoäng for PG</t>
      </text>
    </comment>
    <comment authorId="0" ref="E1070">
      <text>
        <t xml:space="preserve">22/23 Added for marketing purposes </t>
      </text>
    </comment>
    <comment authorId="0" ref="E1071">
      <text>
        <t xml:space="preserve">Food for lectures and events
23/24 Changed to two events, one per semester</t>
      </text>
    </comment>
    <comment authorId="0" ref="E1072">
      <text>
        <t xml:space="preserve">Meetings handover according to template 18/19. 
SASSE Fintech: 1 PL (0,5), 3 PG (0,25)
23/24 Increase due to addiotional members</t>
      </text>
    </comment>
    <comment authorId="0" ref="E1073">
      <text>
        <t xml:space="preserve">According to new template.
SASSE Fintech: 1 PL (0,5), 3 PG (0,25)</t>
      </text>
    </comment>
    <comment authorId="0" ref="E1077">
      <text>
        <t xml:space="preserve">Fee for outsourced maintenance of server infrastructure (Dicom). Project removed in 18/19.</t>
      </text>
    </comment>
    <comment authorId="0" ref="E1078">
      <text>
        <t xml:space="preserve">Costs for support from Dicom regarding the servers and network. Project removed in 18/19</t>
      </text>
    </comment>
    <comment authorId="0" ref="E1079">
      <text>
        <t xml:space="preserve">Removed 14/15 due to finding OneDrive as a suitable replacement to Box.com
Project removed in 18/19</t>
      </text>
    </comment>
    <comment authorId="0" ref="E1089">
      <text>
        <t xml:space="preserve">Removed 17/18</t>
      </text>
    </comment>
    <comment authorId="0" ref="E1090">
      <text>
        <t xml:space="preserve">Removed 17/18</t>
      </text>
    </comment>
    <comment authorId="0" ref="E1091">
      <text>
        <t xml:space="preserve">Removed 17/18</t>
      </text>
    </comment>
    <comment authorId="0" ref="E1092">
      <text>
        <t xml:space="preserve">Removed 17/18</t>
      </text>
    </comment>
    <comment authorId="0" ref="E1093">
      <text>
        <t xml:space="preserve">Removed 17/18</t>
      </text>
    </comment>
    <comment authorId="0" ref="E1094">
      <text>
        <t xml:space="preserve">Removed 17/18</t>
      </text>
    </comment>
    <comment authorId="0" ref="E1095">
      <text>
        <t xml:space="preserve">Removed 17/18</t>
      </text>
    </comment>
    <comment authorId="0" ref="E1096">
      <text>
        <t xml:space="preserve">Removed 17/18</t>
      </text>
    </comment>
    <comment authorId="0" ref="E1097">
      <text>
        <t xml:space="preserve">Removed 17/18</t>
      </text>
    </comment>
    <comment authorId="0" ref="E1098">
      <text>
        <t xml:space="preserve">Removed 17/18</t>
      </text>
    </comment>
    <comment authorId="0" ref="E1102">
      <text>
        <t xml:space="preserve">Quarterly payments of 11003 for Tech Committee and Media Committee computer and monitors. Leasing contract was cancelled 30/6-19
20/21: no longer any leasing costs</t>
      </text>
    </comment>
    <comment authorId="0" ref="E1103">
      <text>
        <t xml:space="preserve">Broadband for Enoksro. 5 291 SEK per quarter = 21 164 SEK/year
Signed for 3 years in 18/19, should definitely be re-evaluated in 23/24 to see if we can get a cheaper deal </t>
      </text>
    </comment>
    <comment authorId="0" ref="E1104">
      <text>
        <t xml:space="preserve">Consultant costs (Engboms) to handle the more advanced problems that is associated with the SASSE network.
21/22 Removed, school handles this.</t>
      </text>
    </comment>
    <comment authorId="0" ref="E1105">
      <text>
        <t xml:space="preserve">Annual fees for the wireless network.
20/21: Zeroed as we don't have these fees anymore</t>
      </text>
    </comment>
    <comment authorId="0" ref="E1106">
      <text>
        <t xml:space="preserve">Depreciations for hardware.
Moved from IT Committee Central in 18/19. 
See "VKO New Investments and Depreciation" tab for specification</t>
      </text>
    </comment>
    <comment authorId="0" ref="E1110">
      <text>
        <t xml:space="preserve">Look for in the future</t>
      </text>
    </comment>
    <comment authorId="0" ref="E1111">
      <text>
        <t xml:space="preserve">Gifts for the lecturers (6)
</t>
      </text>
    </comment>
    <comment authorId="0" ref="E1112">
      <text>
        <t xml:space="preserve">Costs for events during the year</t>
      </text>
    </comment>
    <comment authorId="0" ref="E1113">
      <text>
        <t xml:space="preserve">Workwear according to template 22/23
1 PL (1), Vice PL (0,75) 4 PG (0,5)</t>
      </text>
    </comment>
    <comment authorId="0" ref="E1114">
      <text>
        <t xml:space="preserve">22/23 Added for marketing purposes</t>
      </text>
    </comment>
    <comment authorId="0" ref="E1116">
      <text>
        <t xml:space="preserve">4 inspirational lectures à first 20 signups à 75 SEK, review if popular in prel 23/24 to increase people
2 workshops á 15 people (15*25)
22/23 Def. Increase to 6 lectures due to demand </t>
      </text>
    </comment>
    <comment authorId="0" ref="E1117">
      <text>
        <t xml:space="preserve">Meetings handover according to template 1 PL (1), Vice PL (0,75) 4 PG (0,5) PG (0,25) 3</t>
      </text>
    </comment>
    <comment authorId="0" ref="E1118">
      <text>
        <t xml:space="preserve">According to new template 
1 PL (1), Vice PL (0,75) 4 PG (0,5) 3 PG (0,25)</t>
      </text>
    </comment>
    <comment authorId="0" ref="E1122">
      <text>
        <t xml:space="preserve">22/23 Moved from 16xx03</t>
      </text>
    </comment>
    <comment authorId="0" ref="E1123">
      <text>
        <t xml:space="preserve">Gifts for the lecturers (5 lectures)
22/23 Moved from 16xx03</t>
      </text>
    </comment>
    <comment authorId="0" ref="E1124">
      <text>
        <t xml:space="preserve">Workwear according to template 
SASSE AI: 1 PL (0,5), 3 PG (0,25)
22/23 Moved from 16xx03</t>
      </text>
    </comment>
    <comment authorId="0" ref="E1125">
      <text>
        <t xml:space="preserve">Roll up, posters.
22/23 Added due to need 
22/23 Moved from 16xx03</t>
      </text>
    </comment>
    <comment authorId="0" ref="E1126">
      <text>
        <t xml:space="preserve">4 lectures à 20 students à 75 kr + 
Rest of lectures will be paid for by the companies holding the lectures.
22/23 Moved from 16xx03
</t>
      </text>
    </comment>
    <comment authorId="0" ref="E1127">
      <text>
        <t xml:space="preserve">SASSE AI: 1 PL (0,5), 3 PG (0,25)
22/23 Moved from 16xx03</t>
      </text>
    </comment>
    <comment authorId="0" ref="E1128">
      <text>
        <t xml:space="preserve">According to new template 18/19
SASSE AI: 1 PL (0,5), 3 PG (0,25)
22/23 Moved from 16xx03</t>
      </text>
    </comment>
    <comment authorId="0" ref="E1132">
      <text>
        <t xml:space="preserve">Workwear according to template. 1 PL (0,5), 1 Assistant (0,25)
22/23 Removed due to low interest last year</t>
      </text>
    </comment>
    <comment authorId="0" ref="E1133">
      <text>
        <t xml:space="preserve">5 evening workshops à 15 students à 25 kr = 1875 kr
22/23 Removed due to low interest last year
</t>
      </text>
    </comment>
    <comment authorId="0" ref="E1134">
      <text>
        <t xml:space="preserve">Meetings handover according to template. 1 PL (0,5), 1 Assistant (0,25)
22/23 Removed due to low interest last year</t>
      </text>
    </comment>
    <comment authorId="0" ref="E1135">
      <text>
        <t xml:space="preserve">According to new template. 1 PL (0,5), 1 Assistant (0,25) 
22/23 Removed due to low interest last year</t>
      </text>
    </comment>
    <comment authorId="0" ref="E1139">
      <text>
        <t xml:space="preserve">22/23 New xTech budget every year, to be presented as motion or in definite budget</t>
      </text>
    </comment>
    <comment authorId="0" ref="E1140">
      <text>
        <t xml:space="preserve">22/23 New xTech budget every year, to be presented as motion or in definite budget</t>
      </text>
    </comment>
    <comment authorId="0" ref="E1141">
      <text>
        <t xml:space="preserve">22/23 New xTech budget every year, to be presented as motion or in definite budget</t>
      </text>
    </comment>
    <comment authorId="0" ref="E1142">
      <text>
        <t xml:space="preserve">22/23 New xTech budget every year, to be presented as motion or in definite budget</t>
      </text>
    </comment>
    <comment authorId="0" ref="E1143">
      <text>
        <t xml:space="preserve">22/23 New xTech budget every year, to be presented as motion or in definite budget</t>
      </text>
    </comment>
    <comment authorId="0" ref="E1144">
      <text>
        <t xml:space="preserve">22/23 New xTech budget every year, to be presented as motion or in definite budget</t>
      </text>
    </comment>
    <comment authorId="0" ref="E1145">
      <text>
        <t xml:space="preserve">Workwear according to template. 1 PL (1), 5 PG (0,75)
22/23 New xTech budget every year, to be presented as motion or in definite budget
</t>
      </text>
    </comment>
    <comment authorId="0" ref="E1146">
      <text>
        <t xml:space="preserve">22/23 New xTech budget every year, to be presented as motion or in definite budget</t>
      </text>
    </comment>
    <comment authorId="0" ref="E1147">
      <text>
        <t xml:space="preserve">22/23 New xTech budget every year, to be presented as motion or in definite budget</t>
      </text>
    </comment>
    <comment authorId="0" ref="E1148">
      <text>
        <t xml:space="preserve">22/23 New xTech budget every year, to be presented as motion or in definite budget</t>
      </text>
    </comment>
    <comment authorId="0" ref="E1149">
      <text>
        <t xml:space="preserve">Workwear according to template. 1 PL (1), 5 PG (0,75)
22/23 New xTech budget every year, to be presented as motion or in definite budget</t>
      </text>
    </comment>
    <comment authorId="0" ref="E1150">
      <text>
        <t xml:space="preserve">Workwear according to template. 1 PL (1), 5 PG (0,75)
22/23 New xTech budget every year, to be presented as motion or in definite budget</t>
      </text>
    </comment>
    <comment authorId="0" ref="E1151">
      <text>
        <t xml:space="preserve">22/23 New xTech budget every year, to be presented as motion or in definite budget</t>
      </text>
    </comment>
    <comment authorId="0" ref="E1155">
      <text>
        <t xml:space="preserve">50 tickets á 150 SEK
23/24 Removed due to concept change</t>
      </text>
    </comment>
    <comment authorId="0" ref="E1156">
      <text>
        <t xml:space="preserve">Bar Sales
Approx 50 beers and 50 Ciders</t>
      </text>
    </comment>
    <comment authorId="0" ref="E1157">
      <text>
        <t xml:space="preserve">Sponsorship revenue </t>
      </text>
    </comment>
    <comment authorId="0" ref="E1158">
      <text>
        <t xml:space="preserve">Corresponds to 3030
22/23 Increased prices in the bar
</t>
      </text>
    </comment>
    <comment authorId="0" ref="E1160">
      <text>
        <t xml:space="preserve">22/23 5 lectures </t>
      </text>
    </comment>
    <comment authorId="0" ref="E1161">
      <text>
        <t xml:space="preserve">Estimated arrangement costs for the event</t>
      </text>
    </comment>
    <comment authorId="0" ref="E1162">
      <text>
        <t xml:space="preserve">Workwear according to template. 1 PL (1), 6 PG (0,75)
</t>
      </text>
    </comment>
    <comment authorId="0" ref="E1163">
      <text>
        <t xml:space="preserve">Printing of marketing
20/21 Zeroed due to initiate from 20/21</t>
      </text>
    </comment>
    <comment authorId="0" ref="E1164">
      <text>
        <t xml:space="preserve">Estimated cost for food, 100 á person, 50 people</t>
      </text>
    </comment>
    <comment authorId="0" ref="E1165">
      <text>
        <t xml:space="preserve">Handover according to template. 1 PL (1), 6 PG (0,75)
</t>
      </text>
    </comment>
    <comment authorId="0" ref="E1166">
      <text>
        <t xml:space="preserve">Internal representation according to template. 1 PL (1), 6 PG (0,75)
</t>
      </text>
    </comment>
    <comment authorId="0" ref="E1167">
      <text>
        <t xml:space="preserve">Transaction fee 12,5*50
23/24 Removed due to change of concept</t>
      </text>
    </comment>
    <comment authorId="0" ref="E1171">
      <text>
        <t xml:space="preserve">Gifts 200 SEK 2 lectures
</t>
      </text>
    </comment>
    <comment authorId="0" ref="E1172">
      <text>
        <t xml:space="preserve">Workwear according to template. 1 PL (0,5), 2 PG (0,25)</t>
      </text>
    </comment>
    <comment authorId="0" ref="E1173">
      <text>
        <t xml:space="preserve">Food and drinks for 2 lectures a 75 sek a 20 ppl
</t>
      </text>
    </comment>
    <comment authorId="0" ref="E1174">
      <text>
        <t xml:space="preserve">Workwear according to template. 1 PL (0,5), 2 PG (0,25)</t>
      </text>
    </comment>
    <comment authorId="0" ref="E1175">
      <text>
        <t xml:space="preserve">Workwear according to template. 1 PL (0,5), 2 PG (0,25)</t>
      </text>
    </comment>
    <comment authorId="0" ref="E1184">
      <text>
        <t xml:space="preserve">Sponsorship agreement with committee sponsor</t>
      </text>
    </comment>
    <comment authorId="0" ref="E1185">
      <text>
        <t xml:space="preserve">10 % return on the 2000 SEK workwear donnation to the BC Board</t>
      </text>
    </comment>
    <comment authorId="0" ref="E1186">
      <text>
        <t xml:space="preserve">Removed 17/18.</t>
      </text>
    </comment>
    <comment authorId="0" ref="E1187">
      <text>
        <t xml:space="preserve">Ticket revenue, eg, skiften etc</t>
      </text>
    </comment>
    <comment authorId="0" ref="E1188">
      <text>
        <t xml:space="preserve">costs, eg skiften etc </t>
      </text>
    </comment>
    <comment authorId="0" ref="E1189">
      <text>
        <t xml:space="preserve">1000 kr for buying treats during the introductory week; Bachelors, Masters and Exchange. </t>
      </text>
    </comment>
    <comment authorId="0" ref="E1190">
      <text>
        <t xml:space="preserve">Moved to 4050</t>
      </text>
    </comment>
    <comment authorId="0" ref="E1191">
      <text>
        <t xml:space="preserve">Costs for "skiften", internal festivites and other similar arrangements. 
30% of total internal meetings for the profit center. Increased due to costs for renting Enoksro.
Part of new template 18/19.</t>
      </text>
    </comment>
    <comment authorId="0" ref="E1192">
      <text>
        <t xml:space="preserve">Workwear for the board: 
550 per board member (550x7) 7x 80 sek for medals
BD Group (0,5) 2*200
</t>
      </text>
    </comment>
    <comment authorId="0" ref="E1193">
      <text>
        <t xml:space="preserve">Clothes for representation during business meetings: 
2000 per each board member
(2000x7=14000)
</t>
      </text>
    </comment>
    <comment authorId="0" ref="E1194">
      <text>
        <t xml:space="preserve">Printing of posters and marketing events.</t>
      </text>
    </comment>
    <comment authorId="0" ref="E1195">
      <text>
        <t xml:space="preserve">Education or arrangements to improve the committee board's ability to work. Can be used for internal education, books, conferences, etc. </t>
      </text>
    </comment>
    <comment authorId="0" ref="E1196">
      <text>
        <t xml:space="preserve">Meetings with predecessors, e.g. patetmiddagar
500 SEK for collab predecessor-events with board</t>
      </text>
    </comment>
    <comment authorId="0" ref="E1197">
      <text>
        <t xml:space="preserve">Meetings with regards to Committee President post descriptions. 
20/21 According to template 19/20</t>
      </text>
    </comment>
    <comment authorId="0" ref="E1198">
      <text>
        <t xml:space="preserve">President (3): 400
Board (2,5): 6*300
BD Group (0,5) 100*2</t>
      </text>
    </comment>
    <comment authorId="0" ref="E1199">
      <text>
        <t xml:space="preserve">President: 1000
Board: 6*800 = 4800
Festivities(0,25): 2*100 = 200
BD Group (0,5) =2*200=400
According to template for frequently used accounts.</t>
      </text>
    </comment>
    <comment authorId="0" ref="E1200">
      <text>
        <t xml:space="preserve">To cover necessary replacements, shelfs to the storage room, new lamps and similar room accessories. </t>
      </text>
    </comment>
    <comment authorId="0" ref="E1201">
      <text>
        <t xml:space="preserve">To cover everyday consumables, paper, pens, folders, cleaning equipment etc. All projects are merged. Reparation, restoration and replacement of equipment and furniture. Removed 13/14 due to centralizing, the cost is now located in the vice president's budget.</t>
      </text>
    </comment>
    <comment authorId="0" ref="E1202">
      <text>
        <t xml:space="preserve">To cover budget travel to and from company meetings, presentations and events for Business Committee personnel.</t>
      </text>
    </comment>
    <comment authorId="0" ref="E1203">
      <text>
        <t xml:space="preserve">Event arranged together CR according to Capital Partners Agreement. Approx. 80 people. 
Catering etc.
22/23 removed since it has not been used the last years.
</t>
      </text>
    </comment>
    <comment authorId="0" ref="E1204">
      <text>
        <t xml:space="preserve">London: Transport, lodging and food for 3 BC Representatives. 
23/24 Increased due to outcome</t>
      </text>
    </comment>
    <comment authorId="0" ref="E1205">
      <text>
        <t xml:space="preserve">SASSE Company Trip: Transport, lodging and food for 7 BC Representatives. 
This budget is contingent on the trip being approved by the student council in accordance with the travel policy
23/24 Increased due to outcome</t>
      </text>
    </comment>
    <comment authorId="0" ref="E1206">
      <text>
        <t xml:space="preserve">Moved to vice president (16/17)</t>
      </text>
    </comment>
    <comment authorId="0" ref="E1210">
      <text>
        <t xml:space="preserve">3110 (Sponsorship) and 3064 (External Ads). 
Income from Company Events/Marketing
Not divided into two accounts as it is hard to judge what the distribution will be like
22/23 Decreased due to high risk of lower interest during 2023 due to macro circumstances. Added 172204, account 3064 cataloges since it is hard to seperate from the annual agreements.</t>
      </text>
    </comment>
    <comment authorId="0" ref="E1211">
      <text>
        <t xml:space="preserve">Compensation from SSE for Capital Partner agreement. Calculated on 26 000 SEK per Partner (20 partners according to the agreement)
23/24 Corrected based on the contract spec.</t>
      </text>
    </comment>
    <comment authorId="0" ref="E1212">
      <text>
        <t xml:space="preserve">Moved to 5420-172101</t>
      </text>
    </comment>
    <comment authorId="0" ref="E1213">
      <text>
        <t xml:space="preserve">Removed due to no need
</t>
      </text>
    </comment>
    <comment authorId="0" ref="E1214">
      <text>
        <t xml:space="preserve">Workwear for Company Group 
1 PL (0,75) 7 PG (0,5) 
</t>
      </text>
    </comment>
    <comment authorId="0" ref="E1215">
      <text>
        <t xml:space="preserve">Rollups for company presentations, printing of posters etc.
</t>
      </text>
    </comment>
    <comment authorId="0" ref="E1216">
      <text>
        <t xml:space="preserve">Company group 
1 PL (0,75), 7 PG (0,5)  
1*100+7*100= 800 SEK</t>
      </text>
    </comment>
    <comment authorId="0" ref="E1217">
      <text>
        <t xml:space="preserve">Company group 
1 PL (0.75) , 7 PG (0,5)  
1*300+7* 200= 1700 SEK</t>
      </text>
    </comment>
    <comment authorId="0" ref="E1218">
      <text>
        <t xml:space="preserve">Costs for the CRM system SuperOffice. 21/22 and onwards: 25 00 SEK
Keyforce 780 sek / month. 
Mailchimp
1 300 sek / month
22/23: Increased prices and added keyforce since that was missing from the account. 
Adapters and other technical budget is in the TechU budget</t>
      </text>
    </comment>
    <comment authorId="0" ref="E1219">
      <text>
        <t xml:space="preserve">Account used for catering for company presentations. Margin decreased in 19/20 from 10% to 5% to be able to serve higher quality food
22/23 Decreased in line with comment in 3110. 
23/24 Increased in line with expected demand</t>
      </text>
    </comment>
    <comment authorId="0" ref="E1220">
      <text>
        <t xml:space="preserve">Account used for catering for company presentations. 
22/23 Decreased in line with comment in 3110. 
23/24 Increased in line with expected demand</t>
      </text>
    </comment>
    <comment authorId="0" ref="E1224">
      <text>
        <t xml:space="preserve">Moved to business committee central (16/17) </t>
      </text>
    </comment>
    <comment authorId="0" ref="E1225">
      <text>
        <t xml:space="preserve">Moved to business committee central (16/17) </t>
      </text>
    </comment>
    <comment authorId="0" ref="E1229">
      <text>
        <t xml:space="preserve">Moved to Education Committee (16/17)</t>
      </text>
    </comment>
    <comment authorId="0" ref="E1230">
      <text>
        <t xml:space="preserve">Moved to Education Committee (16/17)</t>
      </text>
    </comment>
    <comment authorId="0" ref="E1231">
      <text>
        <t xml:space="preserve">Moved to Education Committee (16/17)</t>
      </text>
    </comment>
    <comment authorId="0" ref="E1232">
      <text>
        <t xml:space="preserve">Moved to Education Committee (16/17)</t>
      </text>
    </comment>
    <comment authorId="0" ref="E1236">
      <text>
        <t xml:space="preserve">Revenue from double adverts and  single advert (X companies * 10000 SEK + X companies * 6000 SEK). 
22/23: Moved to 172201
</t>
      </text>
    </comment>
    <comment authorId="0" ref="E1237">
      <text>
        <t xml:space="preserve">Removed since no longer a Head of catalogue. Done by the BC Board. </t>
      </text>
    </comment>
    <comment authorId="0" ref="E1238">
      <text>
        <t xml:space="preserve">Removed since no longer a Head of catalogue. Done by the BC Board. </t>
      </text>
    </comment>
    <comment authorId="0" ref="E1239">
      <text>
        <t xml:space="preserve">Removed since no longer a Head of catalogue. Done by the BC Board. </t>
      </text>
    </comment>
    <comment authorId="0" ref="E1240">
      <text>
        <t xml:space="preserve">Removed since no longer a Head of catalogue. Done by the BC Board. </t>
      </text>
    </comment>
    <comment authorId="0" ref="E1241">
      <text>
        <t xml:space="preserve">Removed since no longer a Head of catalogue. Done by the BC Board. </t>
      </text>
    </comment>
    <comment authorId="0" ref="E1245">
      <text>
        <t xml:space="preserve">22/23: 5 companies (5*24000)
</t>
      </text>
    </comment>
    <comment authorId="0" ref="E1246">
      <text>
        <t xml:space="preserve">22 ppl * 3000SEK.
free for 2 Business Committee Board Representative and the 2 Project Leaders
</t>
      </text>
    </comment>
    <comment authorId="0" ref="E1247">
      <text>
        <t xml:space="preserve">Workwear for 2 project leaders(1,25), 
Workwear according to template 21/22</t>
      </text>
    </comment>
    <comment authorId="0" ref="E1249">
      <text>
        <t xml:space="preserve">Handover meeting with successor and predecessor to encourage a smooth tranistion.
2*PL (1,25) = 2*200=400</t>
      </text>
    </comment>
    <comment authorId="0" ref="E1250">
      <text>
        <t xml:space="preserve">2 PL (1,25) à 500</t>
      </text>
    </comment>
    <comment authorId="0" ref="E1252">
      <text>
        <t xml:space="preserve">Airfare &amp; Hotel: 5 900/person (No Cancellation Insurance)
Transfer: 400/person (Round Trip Heathrow Airport)
Tot: 6 300/person * 26 = 163 800 kr
23/24 Increased in line with outcome and expected price increase</t>
      </text>
    </comment>
    <comment authorId="0" ref="E1257">
      <text>
        <t xml:space="preserve">22/23 Price increase 
Main Partner: 1*92 000*0,8 = 73 600
Premium Partners: 6*47 000 = 282 000 (2 capital partners)
Partners: 20*34 000 = 680 000 (5 capital partners)
22/23 WFD us up for structural change in a motion or in def 23/24. 
23/24 Increased the price for companies</t>
      </text>
    </comment>
    <comment authorId="0" ref="E1258">
      <text>
        <t xml:space="preserve">22/23 For kick In/Kick Out with hosts 
23/24 Removed due to outcome</t>
      </text>
    </comment>
    <comment authorId="0" ref="E1259">
      <text>
        <t xml:space="preserve">Connected to 4061, 25% of purchase value, invoiced to project group (14 people 21/22) if they want to keep their suits.</t>
      </text>
    </comment>
    <comment authorId="0" ref="E1260">
      <text>
        <t xml:space="preserve">Purchases for fair</t>
      </text>
    </comment>
    <comment authorId="0" ref="E1261">
      <text>
        <t xml:space="preserve">Marshal costs include necessities such as food, snacks and drinks. According to new template 20/21.
Food for the fair (hosts and PG): 
(40+23)*140 = 8820 
1,5 days
23/24 Increased in line with template and additional members</t>
      </text>
    </comment>
    <comment authorId="0" ref="E1262">
      <text>
        <t xml:space="preserve">3 Inspirational lectures.
3 X 100
23/24 Increased one additional lecture</t>
      </text>
    </comment>
    <comment authorId="0" ref="E1263">
      <text>
        <t xml:space="preserve">22/23 Kick Out or Kick In with hosts
23 PG + 40 hosts
23/24 Increasd to be in line with number of members</t>
      </text>
    </comment>
    <comment authorId="0" ref="E1264">
      <text>
        <t xml:space="preserve">Clothes for PL(2,0) and PG(1,5), 14*530 + 14*80 SEK
Workwear for hosts should be sponsored
21/22 decreased due to less project members</t>
      </text>
    </comment>
    <comment authorId="0" ref="E1265">
      <text>
        <t xml:space="preserve">Suits for the project group, as this is something that is needed for representation. Based on offer from Hope 2019
23/24 Decreased to the correct amount of members</t>
      </text>
    </comment>
    <comment authorId="0" ref="E1266">
      <text>
        <t xml:space="preserve">Printing for companies.
20/21: Decreased due to outcome</t>
      </text>
    </comment>
    <comment authorId="0" ref="E1267">
      <text>
        <t xml:space="preserve">150 SEK per company representative:
1 Main * 4 * 150 = 480
6 Premium * 4 * 150 = 2 880
20 Partner * 3 * 150 = 7 200
8 PE * 2 * 150 = 1 920
=  SEK
Coffee and refreshments for the company lounge:
4 000 SEK
Food for inspirational lectures: 
3*40*75 SEK=18000
20/21: lowered with one inspirational lecture</t>
      </text>
    </comment>
    <comment authorId="0" ref="E1268">
      <text>
        <t xml:space="preserve">Cost for decorations during the fair and the evening.
</t>
      </text>
    </comment>
    <comment authorId="0" ref="E1269">
      <text>
        <t xml:space="preserve">Handover meeting with successor and predecessor to encourage a smooth tranistion. Added in 17/18 as part of the new internal meetings structure.
PL (2): 2*300
PG (1,5): 12*200</t>
      </text>
    </comment>
    <comment authorId="0" ref="E1270">
      <text>
        <t xml:space="preserve">1 PL (1), 22 PG (1,5)
23/24 Increased to be in line with the number of members</t>
      </text>
    </comment>
    <comment authorId="0" ref="E1271">
      <text>
        <t xml:space="preserve">Tables, carpets and other equipment for the fair.
20/21: Raised according to outcome</t>
      </text>
    </comment>
    <comment authorId="0" ref="E1272">
      <text>
        <t xml:space="preserve">Cost for cleaning in the atrium + at dinner venue</t>
      </text>
    </comment>
    <comment authorId="0" ref="E1273">
      <text>
        <t xml:space="preserve">Costs for transportation of equipment</t>
      </text>
    </comment>
    <comment authorId="0" ref="E1275">
      <text>
        <t xml:space="preserve">Removed</t>
      </text>
    </comment>
    <comment authorId="0" ref="E1279">
      <text>
        <t xml:space="preserve">Ticket revenue from students = 54 000 SEK (120*450)
Internal Representation SEK
WFD PL
WFD PG
WFD Hosts
BC Board
= Internal Representation
22/23 WFD us up for structural change in a motion or in def 23/24.Increased ticket revenue </t>
      </text>
    </comment>
    <comment authorId="0" ref="E1280">
      <text>
        <t xml:space="preserve">Connected to 6071
23/24 Increased in line with number of members</t>
      </text>
    </comment>
    <comment authorId="0" ref="E1281">
      <text>
        <t xml:space="preserve">320 people à 1000 SEK. Dinner and Venue Hire etc.
WFD PG = 23
WFD Hosts = 40
BC Board = 7
= 70
Company Representatives = 100
Students = 90
23/24 Increased the number of attending guests</t>
      </text>
    </comment>
    <comment authorId="0" ref="E1282">
      <text>
        <t xml:space="preserve">Ornaments for the banquet.</t>
      </text>
    </comment>
    <comment authorId="0" ref="E1283">
      <text>
        <t xml:space="preserve">23xPG, 7xBC Board, 40xHosts
23/24 Increased in line with number of members</t>
      </text>
    </comment>
    <comment authorId="0" ref="E1284">
      <text>
        <t xml:space="preserve">Transaction fees connected to external ticket sales</t>
      </text>
    </comment>
    <comment authorId="0" ref="E1288">
      <text>
        <t xml:space="preserve">400 people 70 sek per ticket
22/23 Decreased back to one event. 
23/24 Added into budget
</t>
      </text>
    </comment>
    <comment authorId="0" ref="E1289">
      <text>
        <t xml:space="preserve">Margin: 90%
22/23 Decreased back to one event.
22/23 Increased prices in the bar
23/24 Added into budget</t>
      </text>
    </comment>
    <comment authorId="0" ref="E1290">
      <text>
        <t xml:space="preserve">Alcohol purchase
23/24 Added into budget</t>
      </text>
    </comment>
    <comment authorId="0" ref="E1291">
      <text>
        <t xml:space="preserve">Marshal costs include necessities such as food, snacks and drinks. According to new template 20/21.
1 half day*21 marshalls 
23/24 Added into budget</t>
      </text>
    </comment>
    <comment authorId="0" ref="E1292">
      <text>
        <t xml:space="preserve">Decor accoring to theme for the afterparty if held at Rotundan
23/24 Added into budget</t>
      </text>
    </comment>
    <comment authorId="0" ref="E1293">
      <text>
        <t xml:space="preserve">Guard salaries
23/24 Added into budget</t>
      </text>
    </comment>
    <comment authorId="0" ref="E1294">
      <text>
        <t xml:space="preserve">Transaction fees 
23/24 Added into budget</t>
      </text>
    </comment>
    <comment authorId="0" ref="E1300">
      <text>
        <t xml:space="preserve">Kickoff: Food &amp; Drinks for 30 people (30x60=1800)
Livepodd: Food &amp; Drinks for 50 people (50x60=3000)
Avslutning: Food &amp; Drinks for 30 people (30x60=1800)</t>
      </text>
    </comment>
    <comment authorId="0" ref="E1304">
      <text>
        <t xml:space="preserve">Removed 18/19 due to project merging with Entrepreneurship Society.</t>
      </text>
    </comment>
    <comment authorId="0" ref="E1305">
      <text>
        <t xml:space="preserve">Removed 18/19 due to project merging with Entrepreneurship Society.</t>
      </text>
    </comment>
    <comment authorId="0" ref="E1306">
      <text>
        <t xml:space="preserve">Removed 18/19 due to project merging with Entrepreneurship Society.</t>
      </text>
    </comment>
    <comment authorId="0" ref="E1307">
      <text>
        <t xml:space="preserve">Removed 18/19 due to project merging with Entrepreneurship Society.</t>
      </text>
    </comment>
    <comment authorId="0" ref="E1308">
      <text>
        <t xml:space="preserve">Removed 18/19 due to project merging with Entrepreneurship Society.</t>
      </text>
    </comment>
    <comment authorId="0" ref="E1309">
      <text>
        <t xml:space="preserve">Removed 18/19 due to project merging with Entrepreneurship Society.</t>
      </text>
    </comment>
    <comment authorId="0" ref="E1310">
      <text>
        <t xml:space="preserve">Removed 18/19 due to project merging with Entrepreneurship Society.</t>
      </text>
    </comment>
    <comment authorId="0" ref="E1311">
      <text>
        <t xml:space="preserve">Removed 18/19 due to project merging with Entrepreneurship Society.</t>
      </text>
    </comment>
    <comment authorId="0" ref="E1312">
      <text>
        <t xml:space="preserve">Removed 18/19 due to project merging with Entrepreneurship Society.</t>
      </text>
    </comment>
    <comment authorId="0" ref="E1313">
      <text>
        <t xml:space="preserve">Removed 18/19 due to project merging with Entrepreneurship Society.</t>
      </text>
    </comment>
    <comment authorId="0" ref="E1314">
      <text>
        <t xml:space="preserve">Removed 18/19 due to project merging with Entrepreneurship Society.</t>
      </text>
    </comment>
    <comment authorId="0" ref="E1315">
      <text>
        <t xml:space="preserve">Removed 18/19 due to project merging with Entrepreneurship Society.</t>
      </text>
    </comment>
    <comment authorId="0" ref="E1316">
      <text>
        <t xml:space="preserve">Removed 18/19 due to project merging with Entrepreneurship Society.</t>
      </text>
    </comment>
    <comment authorId="0" ref="E1317">
      <text>
        <t xml:space="preserve">Removed 18/19 due to project merging with Entrepreneurship Society.</t>
      </text>
    </comment>
    <comment authorId="0" ref="E1321">
      <text>
        <t xml:space="preserve">Removed 18/19 due to project merging with Entrepreneurship Society.</t>
      </text>
    </comment>
    <comment authorId="0" ref="E1322">
      <text>
        <t xml:space="preserve">Removed 18/19 due to project merging with Entrepreneurship Society.</t>
      </text>
    </comment>
    <comment authorId="0" ref="E1323">
      <text>
        <t xml:space="preserve">Removed 18/19 due to project merging with Entrepreneurship Society.</t>
      </text>
    </comment>
    <comment authorId="0" ref="E1324">
      <text>
        <t xml:space="preserve">Removed 18/19 due to project merging with Entrepreneurship Society.</t>
      </text>
    </comment>
    <comment authorId="0" ref="E1325">
      <text>
        <t xml:space="preserve">Removed 18/19 due to project merging with Entrepreneurship Society.</t>
      </text>
    </comment>
    <comment authorId="0" ref="E1326">
      <text>
        <t xml:space="preserve">Removed 18/19 due to project merging with Entrepreneurship Society.</t>
      </text>
    </comment>
    <comment authorId="0" ref="E1327">
      <text>
        <t xml:space="preserve">Removed 18/19 due to project merging with Entrepreneurship Society.</t>
      </text>
    </comment>
    <comment authorId="0" ref="E1341">
      <text>
        <t xml:space="preserve">3 partners a 20 000
22/23 changed since the annual agreements has been moved to new partners each years.</t>
      </text>
    </comment>
    <comment authorId="0" ref="E1342">
      <text>
        <t xml:space="preserve">Removed. 
</t>
      </text>
    </comment>
    <comment authorId="0" ref="E1343">
      <text>
        <t xml:space="preserve">President (1,5), Vice President  and 2 Heads of Fund (1,25). Rest of the 4 in the Executive Committee (1) plus 10 Sektorheads.
Workwear according to template 21/22
</t>
      </text>
    </comment>
    <comment authorId="0" ref="E1344">
      <text>
        <t xml:space="preserve">Posters and information booklets, marketing material</t>
      </text>
    </comment>
    <comment authorId="0" ref="E1345">
      <text>
        <t xml:space="preserve">Removed 18/19.</t>
      </text>
    </comment>
    <comment authorId="0" ref="E1346">
      <text>
        <t xml:space="preserve">Food and Drinks for Pitching events, Pitching day, etc.
4-6 events a year. 
1000 SEK x 6 events
20/21 Decreased to 4 events during the fall since the 2 did not happen during the spring.
</t>
      </text>
    </comment>
    <comment authorId="0" ref="E1347">
      <text>
        <t xml:space="preserve">Handover meeting with successor and predecessor to encourage a smooth tranistion. Added in 17/18 as part of the new internal meetings structure.
20/21: 1 President (1,5), 1 Vice President &amp; 2 Head of Fund (1,25), 10 Sector Heads &amp; 6 Executive Committee (1)</t>
      </text>
    </comment>
    <comment authorId="0" ref="E1348">
      <text>
        <t xml:space="preserve">According to new template 18/19. 1 President (1,5), 1 Vice President &amp; 2 Head of Fund (1,25), 10 Sector Heads &amp; 6 Executive Committee (1)</t>
      </text>
    </comment>
    <comment authorId="0" ref="E1349">
      <text>
        <t xml:space="preserve">Centralized 14/15</t>
      </text>
    </comment>
    <comment authorId="0" ref="E1350">
      <text>
        <t xml:space="preserve">Cost for subscriptions of informative material and software.
21/22 Lei-code 5 year subscription bought for new account in nordnet to be able to make investments - 3312,50 SEK =3312,50/5=662,50 per year until 25/26.
</t>
      </text>
    </comment>
    <comment authorId="0" ref="E1368">
      <text>
        <t xml:space="preserve">Revenues from our 2 main sponsors, HOI 60 000 SEK and 40000 SEK J12 Ventures
23/24 Reduced back to the normal level</t>
      </text>
    </comment>
    <comment authorId="0" ref="E1369">
      <text>
        <t xml:space="preserve">Moved to 4049 in 17XX40.</t>
      </text>
    </comment>
    <comment authorId="0" ref="E1370">
      <text>
        <t xml:space="preserve">22/23 moved down to 172243</t>
      </text>
    </comment>
    <comment authorId="0" ref="E1371">
      <text>
        <t xml:space="preserve">Workwear according to template 18/19. 4 PL (1,5), 11 PG (1).
</t>
      </text>
    </comment>
    <comment authorId="0" ref="E1372">
      <text>
        <t xml:space="preserve">Marketing and sponsbags.
Printed material (for hackathon, workshops and picthevent) as well as diplomas for participants. 
21/22 lowered since the events will be online. 
</t>
      </text>
    </comment>
    <comment authorId="0" ref="E1373">
      <text>
        <t xml:space="preserve">Printed material (for hackathon, workshops and picthevent) as well as diplomas for participants. 
20/21 Moved to 4063 </t>
      </text>
    </comment>
    <comment authorId="0" ref="E1374">
      <text>
        <t xml:space="preserve">19/20: Some moved to corresp. account in Initiate and some to GR Banq.</t>
      </text>
    </comment>
    <comment authorId="0" ref="E1375">
      <text>
        <t xml:space="preserve">19/20: Meetings handover according to template 18/19. 4 PL (1,5), 11 PG (1)</t>
      </text>
    </comment>
    <comment authorId="0" ref="E1376">
      <text>
        <t xml:space="preserve">Updated according to new template 18/19. 4 PL (1,5), 11 PG (1)</t>
      </text>
    </comment>
    <comment authorId="0" ref="E1377">
      <text>
        <t xml:space="preserve">19/20: Moved to GR Banquet</t>
      </text>
    </comment>
    <comment authorId="0" ref="E1378">
      <text>
        <t xml:space="preserve">Unipreneurs mebermship fee, may be returned if the organisation goes with a profit</t>
      </text>
    </comment>
    <comment authorId="0" ref="E1382">
      <text>
        <t xml:space="preserve">This sum will be billed to KTH and represent their part of the costs</t>
      </text>
    </comment>
    <comment authorId="0" ref="E1383">
      <text>
        <t xml:space="preserve">Purchases for the event such as champagne glasses etc</t>
      </text>
    </comment>
    <comment authorId="0" ref="E1385">
      <text>
        <t xml:space="preserve">food &amp; drinks for the event</t>
      </text>
    </comment>
    <comment authorId="0" ref="E1386">
      <text>
        <t xml:space="preserve">Ornaments for the banquet</t>
      </text>
    </comment>
    <comment authorId="0" ref="E1387">
      <text>
        <t xml:space="preserve">Moved to be part 3011 (17XX43)</t>
      </text>
    </comment>
    <comment authorId="0" ref="E1393">
      <text>
        <t xml:space="preserve">Gifts for lecturers/inspirational guests. Approx 5 lectures(100) + Hackathon a year. 
22/23 Decreased to 5 events due to low use of their allocated money last years</t>
      </text>
    </comment>
    <comment authorId="0" ref="E1394">
      <text>
        <t xml:space="preserve">19/20: Moved to ES Central</t>
      </text>
    </comment>
    <comment authorId="0" ref="E1395">
      <text>
        <t xml:space="preserve">19/20: Moved to ES Central</t>
      </text>
    </comment>
    <comment authorId="0" ref="E1396">
      <text>
        <t xml:space="preserve">Hackathon and Initiate-lectures. Food and drinks for all members that participate in each event/lecture. Approx. 7 lectures. Approx. 70 people per event/lecture á 85 SEK.
22/23 Decreased to 5 events due to low use of their allocated money last years</t>
      </text>
    </comment>
    <comment authorId="0" ref="E1400">
      <text>
        <t xml:space="preserve">22/23 Changed concept where they have made a banquet + competition together </t>
      </text>
    </comment>
    <comment authorId="0" ref="E1401">
      <text>
        <t xml:space="preserve">22/23 removed old noted from the banquet. New concept from 20/21</t>
      </text>
    </comment>
    <comment authorId="0" ref="E1402">
      <text>
        <t xml:space="preserve">Internal invoicing, connected to 6071. 
22/23 removed old noted from the banquet. New concept from 20/21
</t>
      </text>
    </comment>
    <comment authorId="0" ref="E1403">
      <text>
        <t xml:space="preserve">Purchases and cutlery for the event
22/23 removed old noted from the banquet. New concept from 20/21
</t>
      </text>
    </comment>
    <comment authorId="0" ref="E1404">
      <text>
        <t xml:space="preserve">Alcohol for the banquet. 
19/20: moved to 4076</t>
      </text>
    </comment>
    <comment authorId="0" ref="E1405">
      <text>
        <t xml:space="preserve">Calculated as 17 000 SEK to be used for catering food and drinks
22/23 removed old noted from the banquet. New concept from 20/21
</t>
      </text>
    </comment>
    <comment authorId="0" ref="E1406">
      <text>
        <t xml:space="preserve">Decorations from eg. Tablecloth, candles, lightstand etc. 
22/23 removed old noted from the banquet. New concept from 20/21
</t>
      </text>
    </comment>
    <comment authorId="0" ref="E1407">
      <text>
        <t xml:space="preserve">14xES members and 7 people from NU-board. Internal invoicing, connected to 3014.
</t>
      </text>
    </comment>
    <comment authorId="0" ref="E1408">
      <text>
        <t xml:space="preserve">3 guards, 531,25kr/h * 5h each.
</t>
      </text>
    </comment>
    <comment authorId="0" ref="E1409">
      <text>
        <t xml:space="preserve">Fees connected to ticket sales.
</t>
      </text>
    </comment>
    <comment authorId="0" ref="E1414">
      <text>
        <t xml:space="preserve">Lunch for the company representatives, 120*30.
20/21 Cancelled due to Corona, will be put back in  Prel 21/22</t>
      </text>
    </comment>
    <comment authorId="0" ref="E1415">
      <text>
        <t xml:space="preserve">1000 for an webpage + purchases for fair
21/22 The competition will be online</t>
      </text>
    </comment>
    <comment authorId="0" ref="E1416">
      <text>
        <t xml:space="preserve">Marshal costs include necessities such as food, snacks and drinks. According to new template 18/19. Half day. 14 people.
20/21 Cancelled due to Corona, will be put back in  Prel 21/22</t>
      </text>
    </comment>
    <comment authorId="0" ref="E1417">
      <text>
        <t xml:space="preserve">Coffee and snacks for the company/host lounge, the the lunch cost corresponding to 3076. Lunches are covered for by 3076, food revenue. 
21/22 added 3 inspirational lectures for 20 ppl a 100 SEK during the Guldräven week. </t>
      </text>
    </comment>
    <comment authorId="0" ref="E1418">
      <text>
        <t xml:space="preserve">Banner 2x4 - 1500 SEK, Balloons - 2 000 SEK, Flowers - 500 SEK.
20/21 Cancelled due to Corona, will be put back in  Prel 21/22</t>
      </text>
    </comment>
    <comment authorId="0" ref="E1422">
      <text>
        <t xml:space="preserve">15 companies á 1500 SEK.
22/23 Decreased back to normal</t>
      </text>
    </comment>
    <comment authorId="0" ref="E1423">
      <text>
        <t xml:space="preserve">22/23 Back to normal</t>
      </text>
    </comment>
    <comment authorId="0" ref="E1437">
      <text>
        <t xml:space="preserve">Removed </t>
      </text>
    </comment>
    <comment authorId="0" ref="E1438">
      <text>
        <t xml:space="preserve">Gifts for lecturers etc
</t>
      </text>
    </comment>
    <comment authorId="0" ref="E1441">
      <text>
        <t xml:space="preserve">Lunch for inspirational/educational events.
Specification: 30 ppl x 100 x 3 according to new template 21/22</t>
      </text>
    </comment>
    <comment authorId="0" ref="E1442">
      <text>
        <t xml:space="preserve">Handover meeting with successor and predecessor to encourage a smooth tranistion. Added in 17/18 as part of the new internal meetings structure</t>
      </text>
    </comment>
    <comment authorId="0" ref="E1447">
      <text>
        <t xml:space="preserve">Sponsorship agreements: KPMG 20 000*0,8
23/24 Removed due to uncertainty regarding sponsor
</t>
      </text>
    </comment>
    <comment authorId="0" ref="E1448">
      <text>
        <t xml:space="preserve">Grant from ABGSC Foundation, 50 000 NOK
21/22 Donation lasted for 2 years</t>
      </text>
    </comment>
    <comment authorId="0" ref="E1449">
      <text>
        <t xml:space="preserve">Purchases associated with furthering women in business. Connected to grant received (3120)
Lunch for inspirational/ educational events.
Specification: 
60 ppl x 85 x 2 = 10 200
Networking events to promote women in business.
500*4 events
20/21 Removed
</t>
      </text>
    </comment>
    <comment authorId="0" ref="E1450">
      <text>
        <t xml:space="preserve">Networking events to promote women in business</t>
      </text>
    </comment>
    <comment authorId="0" ref="E1451">
      <text>
        <t xml:space="preserve">Workwear according to template. 1 PL (0,75), 2 PG (0,5)</t>
      </text>
    </comment>
    <comment authorId="0" ref="E1452">
      <text>
        <t xml:space="preserve">Posters etc</t>
      </text>
    </comment>
    <comment authorId="0" ref="E1453">
      <text>
        <t xml:space="preserve">Lunch for inspirational/educational events. 20 ppl x 75  two times a year
Lunch through mentorship program (approximatly 20 mentors)
20 *2 (mentor + student) * 100 sek
</t>
      </text>
    </comment>
    <comment authorId="0" ref="E1454">
      <text>
        <t xml:space="preserve">Meetings handover according to template. 1 PL (0,75), 2 PG (0,5)</t>
      </text>
    </comment>
    <comment authorId="0" ref="E1455">
      <text>
        <t xml:space="preserve">According to new template. 1 PL (0,75), 2 PG (0,5)
</t>
      </text>
    </comment>
    <comment authorId="0" ref="E1478">
      <text>
        <t xml:space="preserve">21/22 Company sponsorship of the society, AT Kearney a 15 000
22/23 Removed due to no interest
</t>
      </text>
    </comment>
    <comment authorId="0" ref="E1479">
      <text>
        <t xml:space="preserve">Workwear according to template.
 1 PL (0,75), 4 PG (0,5)
22/23 Removed due to no interest
</t>
      </text>
    </comment>
    <comment authorId="0" ref="E1480">
      <text>
        <t xml:space="preserve">Removed 18/19
</t>
      </text>
    </comment>
    <comment authorId="0" ref="E1481">
      <text>
        <t xml:space="preserve">Lunch lectures approx 20 students x 75 x 4 
22/23 Removed due to no interest
</t>
      </text>
    </comment>
    <comment authorId="0" ref="E1482">
      <text>
        <t xml:space="preserve">Meetings handover according to template. 2 PL (0,75), 3 PG (0,5)
22/23 Removed due to no interest
</t>
      </text>
    </comment>
    <comment authorId="0" ref="E1483">
      <text>
        <t xml:space="preserve">According to new template 18/19. 1 PL (0,75), 4 PG (0,5)
22/23 Removed due to no interest
</t>
      </text>
    </comment>
    <comment authorId="0" ref="E1487">
      <text>
        <t xml:space="preserve">For arranging internal events where a participation fee is paid upfront
Moved from 20xx08 as part of wider reform of UU
Removed 22/23</t>
      </text>
    </comment>
    <comment authorId="0" ref="E1488">
      <text>
        <t xml:space="preserve">For arranging lectures, mingles, and other social events with the purpose of discussing Economics
Removed 22/23
</t>
      </text>
    </comment>
    <comment authorId="0" ref="E1489">
      <text>
        <t xml:space="preserve">Workwear according to template. 
2 PL (0,75) + 4 PG (0,5). 
Removed 22/23</t>
      </text>
    </comment>
    <comment authorId="0" ref="E1490">
      <text>
        <t xml:space="preserve">Posters and other printed material
Removed 22/23</t>
      </text>
    </comment>
    <comment authorId="0" ref="E1491">
      <text>
        <t xml:space="preserve">For arranging lunch lectures 2 lectures for 30 people each á 85 SEK
Removed 22/23
</t>
      </text>
    </comment>
    <comment authorId="0" ref="E1492">
      <text>
        <t xml:space="preserve">Meetings handover with successor and predecessor to encourage a smooth tranistion, according to template. PL (0.75) *2 + PG (0.5) *4 pers
Removed 22/23
</t>
      </text>
    </comment>
    <comment authorId="0" ref="E1493">
      <text>
        <t xml:space="preserve">According to new template 18/19. 2*PL (0.75) + 4*PG (0.5) = 2*300 + 4*200 = 1400 SEK
Removed 22/23</t>
      </text>
    </comment>
    <comment authorId="0" ref="E1497">
      <text>
        <t xml:space="preserve">CEMS club moved from the International Committee to the Business Committee 13/14 after a request from the CEMS club</t>
      </text>
    </comment>
    <comment authorId="0" ref="E1498">
      <text>
        <t xml:space="preserve">The entire subvention has been put together according to regulations stated by SSE</t>
      </text>
    </comment>
    <comment authorId="0" ref="E1501">
      <text>
        <t xml:space="preserve">Removed 16/17
</t>
      </text>
    </comment>
    <comment authorId="0" ref="E1515">
      <text>
        <t xml:space="preserve">Removed due to merger with "Career Day".</t>
      </text>
    </comment>
    <comment authorId="0" ref="E1519">
      <text>
        <t xml:space="preserve">Removed 18/19.</t>
      </text>
    </comment>
    <comment authorId="0" ref="E1520">
      <text>
        <t xml:space="preserve">Removed 18/19.</t>
      </text>
    </comment>
    <comment authorId="0" ref="E1521">
      <text>
        <t xml:space="preserve">Removed 18/19.</t>
      </text>
    </comment>
    <comment authorId="0" ref="E1522">
      <text>
        <t xml:space="preserve">Removed 18/19.</t>
      </text>
    </comment>
    <comment authorId="0" ref="E1523">
      <text>
        <t xml:space="preserve">Removed 18/19.</t>
      </text>
    </comment>
    <comment authorId="0" ref="E1524">
      <text>
        <t xml:space="preserve">Removed 18/19.</t>
      </text>
    </comment>
    <comment authorId="0" ref="E1528">
      <text>
        <t xml:space="preserve">Initiative during 17/18, thus removed in the preliminary budget.</t>
      </text>
    </comment>
    <comment authorId="0" ref="E1529">
      <text>
        <t xml:space="preserve">Initiative during 17/18, thus removed in the preliminary budget.</t>
      </text>
    </comment>
    <comment authorId="0" ref="E1533">
      <text>
        <t xml:space="preserve">Revenue 10 000 SEK
Removed 22/23</t>
      </text>
    </comment>
    <comment authorId="0" ref="E1536">
      <text>
        <t xml:space="preserve">21/22 6 lectures &amp; 2 panels (2 speakers each). 10 total*100
Removed 22/23</t>
      </text>
    </comment>
    <comment authorId="0" ref="E1537">
      <text>
        <t xml:space="preserve">1 PL (0,75)+ 3 PG (0,5)
Removed 22/23</t>
      </text>
    </comment>
    <comment authorId="0" ref="E1538">
      <text>
        <t xml:space="preserve">No printing 
Removed 22/23</t>
      </text>
    </comment>
    <comment authorId="0" ref="E1539">
      <text>
        <t xml:space="preserve">Vouchers for 3 of the lectures/panel: 100*20*3.
Removed 22/23</t>
      </text>
    </comment>
    <comment authorId="0" ref="E1540">
      <text>
        <t xml:space="preserve">1 PL (0,75) + 3 PG (0,5) = 100*4
Removed 22/23</t>
      </text>
    </comment>
    <comment authorId="0" ref="E1541">
      <text>
        <t xml:space="preserve">1 PL (0,75) + 3 PG (0,5)+ 3 helpers during week (0,25)
300*1+200*3+3*100
Removed 22/23</t>
      </text>
    </comment>
    <comment authorId="0" ref="E1550">
      <text>
        <t xml:space="preserve">Revenue from Committee Sponsor PwC</t>
      </text>
    </comment>
    <comment authorId="0" ref="E1551">
      <text>
        <t xml:space="preserve">Ticket revenues from internal events and "skiften"
</t>
      </text>
    </comment>
    <comment authorId="0" ref="E1552">
      <text>
        <t xml:space="preserve">Bar sales from internal events
</t>
      </text>
    </comment>
    <comment authorId="0" ref="E1553">
      <text>
        <t xml:space="preserve">Costs associated with internal committee events and "skiften"</t>
      </text>
    </comment>
    <comment authorId="0" ref="E1554">
      <text>
        <t xml:space="preserve">Drinks from internal events</t>
      </text>
    </comment>
    <comment authorId="0" ref="E1555">
      <text>
        <t xml:space="preserve">21/22 Removed due to outcome</t>
      </text>
    </comment>
    <comment authorId="0" ref="E1556">
      <text>
        <t xml:space="preserve">1000 kr for buying treats during the introductory week; Bachelors, Masters and Exchange. </t>
      </text>
    </comment>
    <comment authorId="0" ref="E1557">
      <text>
        <t xml:space="preserve">Moved to 4050</t>
      </text>
    </comment>
    <comment authorId="0" ref="E1558">
      <text>
        <t xml:space="preserve">Costs for "skiften", internal festivites and other similar arrangements. 
30% of total internal meetings for the profit center. Increased due to costs for renting Enoksro.
Part of new template 18/19.</t>
      </text>
    </comment>
    <comment authorId="0" ref="E1559">
      <text>
        <t xml:space="preserve">Seven hoodies and t-shirts for the Social Committee Board 
(7*(550+200))
Medals for Board 80*7 =560 SEK
Msc Representive 0,75 = 180 SEK
2 intro-coordinators (1) = 180 * 2
20/21
OBS! Medals is bought ever 7th year. 
22/23 added Intro coordinators</t>
      </text>
    </comment>
    <comment authorId="0" ref="E1560">
      <text>
        <t xml:space="preserve">Printing costs associated with events chiefly organized by the social committee.
22/23 Added due to high need of new roll-up. 
 </t>
      </text>
    </comment>
    <comment authorId="0" ref="E1561">
      <text>
        <t xml:space="preserve">Education or arrangements to improve the committee board's ability to work. Can be used for internal education, books, conferences, etc. </t>
      </text>
    </comment>
    <comment authorId="0" ref="E1562">
      <text>
        <t xml:space="preserve">The cost for photographing has been removed. </t>
      </text>
    </comment>
    <comment authorId="0" ref="E1563">
      <text>
        <t xml:space="preserve">Leisure magazines free of choice, for committee room.</t>
      </text>
    </comment>
    <comment authorId="0" ref="E1564">
      <text>
        <t xml:space="preserve">Entertainment for bigger events such as Hwett and Etiquette or similar events
23/24 Added back to the budget from 22/23 due to great respons from attendees</t>
      </text>
    </comment>
    <comment authorId="0" ref="E1565">
      <text>
        <t xml:space="preserve">Meetings with predecessors, e.g. patetmiddagar. Standard sum for all committees.
500 SEK for collab predecessor-events with board</t>
      </text>
    </comment>
    <comment authorId="0" ref="E1566">
      <text>
        <t xml:space="preserve">Meetings with regards to post descriptions. According to template 18/19. Presidiet plus NU and UU: 4000 SEK and Committee President 1000 SEK</t>
      </text>
    </comment>
    <comment authorId="0" ref="E1567">
      <text>
        <t xml:space="preserve">Meetings with previous board. 
1 Committee President (3)
6 board members (1,75) 
2 intro-coordinators (1)
1 Msc Representive (0,75) 
</t>
      </text>
    </comment>
    <comment authorId="0" ref="E1568">
      <text>
        <t xml:space="preserve">According to new template. 
1 Committee President (3)
6 board members (1,75) 
2 intro-coordinators (1)
1 Msc Representive (0,75) 
</t>
      </text>
    </comment>
    <comment authorId="0" ref="E1569">
      <text>
        <t xml:space="preserve">Providing the Social Committee room with furniture and decorations. </t>
      </text>
    </comment>
    <comment authorId="0" ref="E1570">
      <text>
        <t xml:space="preserve">Material that is used frequently such as cups, cutlery, candles and spices. </t>
      </text>
    </comment>
    <comment authorId="0" ref="E1571">
      <text>
        <t xml:space="preserve">Actions and materials for maintining the room in good condition. </t>
      </text>
    </comment>
    <comment authorId="0" ref="E1572">
      <text>
        <t xml:space="preserve">Transport of equipment, decorations etc. for parties or events 
22/23 moved to festmästeriet</t>
      </text>
    </comment>
    <comment authorId="0" ref="E1573">
      <text>
        <t xml:space="preserve">Expenses related to maintaing a good Commitee Sponsor relation. Tickets etc. </t>
      </text>
    </comment>
    <comment authorId="0" ref="E1574">
      <text>
        <t xml:space="preserve">Telephone not used by SC President anymore.</t>
      </text>
    </comment>
    <comment authorId="0" ref="E1578">
      <text>
        <t xml:space="preserve">SU Jubilee dinner: 200 SEK*50 dinner guests for the Social Committee Emeriti Dinner. 
23/24 Lowered the price and the number of guest</t>
      </text>
    </comment>
    <comment authorId="0" ref="E1579">
      <text>
        <t xml:space="preserve">20/21 Added Bar sales
23/24 Lowered due to outcome</t>
      </text>
    </comment>
    <comment authorId="0" ref="E1580">
      <text>
        <t xml:space="preserve">Alcohol purchased from Spritis to be sold in the bar
Corresponds to 3030
22/23 Increased prices in the bar
</t>
      </text>
    </comment>
    <comment authorId="0" ref="E1581">
      <text>
        <t xml:space="preserve">Added Marshal costs for SU board + Some of KS</t>
      </text>
    </comment>
    <comment authorId="0" ref="E1582">
      <text>
        <t xml:space="preserve">Food and drinks for the dinner with Social Committee emeriti. 
Accounted 50 *200 SEK
23/24 Lowered the amount of guest</t>
      </text>
    </comment>
    <comment authorId="0" ref="E1583">
      <text>
        <t xml:space="preserve">Transaction fees for ticket sales</t>
      </text>
    </comment>
    <comment authorId="0" ref="E1588">
      <text>
        <t xml:space="preserve">Workwear according to template. 
2 members (1)</t>
      </text>
    </comment>
    <comment authorId="0" ref="E1589">
      <text>
        <t xml:space="preserve">Meetings handover according to template. 
2 members (1)</t>
      </text>
    </comment>
    <comment authorId="0" ref="E1590">
      <text>
        <t xml:space="preserve">Costs for arranging "Exam-Fikas"/Exam Brakes arranged by the Social Branch, or other initiatives by the Social Branch. (2000) 
21/22 Moved lectures to 182213
23/24 Moved one SU lunch to tenta fika due to time constraint. Moved from 182318</t>
      </text>
    </comment>
    <comment authorId="0" ref="E1591">
      <text>
        <t xml:space="preserve">According to new template. 
2 members (1)=400*2
</t>
      </text>
    </comment>
    <comment authorId="0" ref="E1595">
      <text>
        <t xml:space="preserve">21/22 Money should be applied for at least 10 000, but not secured money and therefore not in the budget</t>
      </text>
    </comment>
    <comment authorId="0" ref="E1596">
      <text>
        <t xml:space="preserve">2 events. flower bouquets à 100 SEK for lunch lecturer</t>
      </text>
    </comment>
    <comment authorId="0" ref="E1597">
      <text>
        <t xml:space="preserve">Purchases associated with lunch lectures or with the work for the student health in general. Example: Price for SASSE Survey</t>
      </text>
    </comment>
    <comment authorId="0" ref="E1598">
      <text>
        <t xml:space="preserve">Workwear according to template. 
1 PL (1,25)
4 PG (0,75). 
23/24 Lowered due to outcome
. </t>
      </text>
    </comment>
    <comment authorId="0" ref="E1599">
      <text>
        <t xml:space="preserve">Education for SHG, eg. meditation course. </t>
      </text>
    </comment>
    <comment authorId="0" ref="E1600">
      <text>
        <t xml:space="preserve">Costs for 2 physical lectures á related to student health. 
Physical: 40 pers á 75 SEK for lunch.
23/24 Decreased to 2 lunch lectures and one breakfast w/ yoga</t>
      </text>
    </comment>
    <comment authorId="0" ref="E1601">
      <text>
        <t xml:space="preserve">Workwear according to template. 
1 PL (1,25)
4 PG (0,75). 
23/24 Decreased 1 PG</t>
      </text>
    </comment>
    <comment authorId="0" ref="E1602">
      <text>
        <t xml:space="preserve">Workwear according to template. 
1 PL (1,25)
4 PG (0,75). 
23/24 Decreased 1 PG
</t>
      </text>
    </comment>
    <comment authorId="0" ref="E1606">
      <text>
        <t xml:space="preserve">22/23 moved to 182213</t>
      </text>
    </comment>
    <comment authorId="0" ref="E1607">
      <text>
        <t xml:space="preserve">Meditation course for 1 PL
22/23 moved to 182213</t>
      </text>
    </comment>
    <comment authorId="0" ref="E1608">
      <text>
        <t xml:space="preserve">Mindful mondays:
100 SEK * 2 PL (0.5)
22/23 moved to 182213</t>
      </text>
    </comment>
    <comment authorId="0" ref="E1609">
      <text>
        <t xml:space="preserve">Mindful mondays: 100 SEK * 3 PG (0.25) + 200 SEK * 2 PL (0.5)
22/23 moved to 182213</t>
      </text>
    </comment>
    <comment authorId="0" ref="E1613">
      <text>
        <t xml:space="preserve">Ticket revenue for external or internal events during the Inspiration Week. </t>
      </text>
    </comment>
    <comment authorId="0" ref="E1614">
      <text>
        <t xml:space="preserve">Bar sales with margin, corresponds to 2000 sek in 4012
22/23 Increased prices in the bar</t>
      </text>
    </comment>
    <comment authorId="0" ref="E1615">
      <text>
        <t xml:space="preserve">2000 sek = Alcohol for bar sales (Corresponds to 3030)
22/23 Increased prices in the bar
</t>
      </text>
    </comment>
    <comment authorId="0" ref="E1616">
      <text>
        <t xml:space="preserve">Gifts for 4 lectures</t>
      </text>
    </comment>
    <comment authorId="0" ref="E1617">
      <text>
        <t xml:space="preserve">Necessary things for Måla och Skåla (6000) + Physical activities(3000)</t>
      </text>
    </comment>
    <comment authorId="0" ref="E1618">
      <text>
        <t xml:space="preserve">Workwear according to template. 
4 PG (0,25). 
21/22 Does not have Exchange merits to have T-shirts</t>
      </text>
    </comment>
    <comment authorId="0" ref="E1619">
      <text>
        <t xml:space="preserve">3 inspirational lectures á 40 people
1 breakfast a 40 people</t>
      </text>
    </comment>
    <comment authorId="0" ref="E1620">
      <text>
        <t xml:space="preserve">Meetings handover according to template. 4 PG (0,25)
21/22 No handover due to lover exchange merits</t>
      </text>
    </comment>
    <comment authorId="0" ref="E1621">
      <text>
        <t xml:space="preserve">According to new template
5 PG (0,25)
</t>
      </text>
    </comment>
    <comment authorId="0" ref="E1622">
      <text>
        <t xml:space="preserve">Transaction fees
</t>
      </text>
    </comment>
    <comment authorId="0" ref="E1626">
      <text>
        <t xml:space="preserve">40*50*4=8000 ticket price for SU-lunches (40 sek/lunch) four times per year
22/23 Concept died under corona, new concept will be established during 23/24. </t>
      </text>
    </comment>
    <comment authorId="0" ref="E1627">
      <text>
        <t xml:space="preserve">Food during two SU-lunches 4000 each
23/24 Lowered to 1 lunch and 1 breakfast, moved to Tentafika 4047-182323</t>
      </text>
    </comment>
    <comment authorId="0" ref="E1631">
      <text>
        <t xml:space="preserve">Ticket revenue for Class Dinners. Corresponds to 4047, 4076 and 6993
Moved from the Education committee in 19/20</t>
      </text>
    </comment>
    <comment authorId="0" ref="E1632">
      <text>
        <t xml:space="preserve">Connected to purchase drinks. Count (purchase drinks)*1,9
Corresponds to 4012
Moved from the Education committee in 19/20</t>
      </text>
    </comment>
    <comment authorId="0" ref="E1633">
      <text>
        <t xml:space="preserve">Alcohol purchased from Spritis to be sold in the bar
Corresponds to 3030
Moved from the Education committee in 19/20</t>
      </text>
    </comment>
    <comment authorId="0" ref="E1634">
      <text>
        <t xml:space="preserve">Arrangements such as rental of Enoksro.
Corresponds to 3011
Moved from the Education committee in 19/20</t>
      </text>
    </comment>
    <comment authorId="0" ref="E1635">
      <text>
        <t xml:space="preserve">Cost for food and drinks for class dinners in the pub or rotunda.
Corresponds to 3011
Moved from the Education committee in 19/20</t>
      </text>
    </comment>
    <comment authorId="0" ref="E1636">
      <text>
        <t xml:space="preserve">Transaction fees for ticket sales
Corresponds to 3011</t>
      </text>
    </comment>
    <comment authorId="0" ref="E1641">
      <text>
        <t xml:space="preserve">No sponsorship due to Committee Sponsorship</t>
      </text>
    </comment>
    <comment authorId="0" ref="E1642">
      <text>
        <t xml:space="preserve">According to new template. 
2 PL (1), 4 PG (0,25)
20/21 Workwear only for Exchange Merits over 0,5</t>
      </text>
    </comment>
    <comment authorId="0" ref="E1643">
      <text>
        <t xml:space="preserve">Printing Beer Etiquettes</t>
      </text>
    </comment>
    <comment authorId="0" ref="E1644">
      <text>
        <t xml:space="preserve">Meetings handover according to template.
2 PL (1)</t>
      </text>
    </comment>
    <comment authorId="0" ref="E1645">
      <text>
        <t xml:space="preserve">According to new template. 
2 PL (1), 4 PG (0,25)</t>
      </text>
    </comment>
    <comment authorId="0" ref="E1648">
      <text>
        <t xml:space="preserve">DISCLAIMER: All increased costs are taken from project 18XX17 account 4010.</t>
      </text>
    </comment>
    <comment authorId="0" ref="E1649">
      <text>
        <t xml:space="preserve">Ticket revenue for arrangements during cultural week. 
The Sprit och sång(200SEK*150) 
Revenue from tickets to
events. E.g. Mixology Event 150 SEK á 30 persons. 
External event (100SEK*20)
23/24 Increased price due to bar prices and added new external event</t>
      </text>
    </comment>
    <comment authorId="0" ref="E1650">
      <text>
        <t xml:space="preserve">Bar sales at cultural arrangements
20/21 Increased due to outcome
22/23 Increased prices in the bar
</t>
      </text>
    </comment>
    <comment authorId="0" ref="E1651">
      <text>
        <t xml:space="preserve">Rental for Crash Barriers. 21/22 Increased due to outcome.</t>
      </text>
    </comment>
    <comment authorId="0" ref="E1652">
      <text>
        <t xml:space="preserve">Bar Purchases for sales at cultural arrangements. 
Only drinks sold in the bar.
</t>
      </text>
    </comment>
    <comment authorId="0" ref="E1653">
      <text>
        <t xml:space="preserve">Marshal costs include necessities such as food, snacks and drinks. According to new template
21 ppl 1 full day Sprit &amp; sång
7ppl 1 half day
7ppl 1 half day
</t>
      </text>
    </comment>
    <comment authorId="0" ref="E1654">
      <text>
        <t xml:space="preserve">Gifts for 3 lectures</t>
      </text>
    </comment>
    <comment authorId="0" ref="E1655">
      <text>
        <t xml:space="preserve">Arrangements for the Culture Week. 10000 SEK from previous years. Increased by 2000 SEK for
increased costs related to scale and the mixology event.</t>
      </text>
    </comment>
    <comment authorId="0" ref="E1656">
      <text>
        <t xml:space="preserve">Food and drinks associated to lunch lectures during the week. Based on 50 lunches à 70 SEK * 3 lectures = 10 500 SEK
21/22 moved to one account</t>
      </text>
    </comment>
    <comment authorId="0" ref="E1657">
      <text>
        <t xml:space="preserve">Food and drinks associated to lunch lectures during the week. Based on 50 lunches à 70 SEK * 3 lectures = 10 500 SEK
Food and drinks for events and banquets during the week 5000 SEK
10 000 SEK Drinks during Sprit and Sång.
</t>
      </text>
    </comment>
    <comment authorId="0" ref="E1658">
      <text>
        <t xml:space="preserve">Guard Salaries. 
2 guards during banquet 2,5h
6 guards 5,5h</t>
      </text>
    </comment>
    <comment authorId="0" ref="E1659">
      <text>
        <t xml:space="preserve">Transaction fees for ticket sales
Corresponds to 3011</t>
      </text>
    </comment>
    <comment authorId="0" ref="E1663">
      <text>
        <t xml:space="preserve">Sponsorship removed due to Committee Sponsorship.</t>
      </text>
    </comment>
    <comment authorId="0" ref="E1664">
      <text>
        <t xml:space="preserve">Should be used for theatre  revenues should correspond to 4010 
21/22 Moved events during  culture week to 182053 
</t>
      </text>
    </comment>
    <comment authorId="0" ref="E1666">
      <text>
        <t xml:space="preserve">Bar sales associated with cultural activities.
19/20: Adjusted to outcome
</t>
      </text>
    </comment>
    <comment authorId="0" ref="E1667">
      <text>
        <t xml:space="preserve">Moved to 4047
</t>
      </text>
    </comment>
    <comment authorId="0" ref="E1668">
      <text>
        <t xml:space="preserve">Guru/society! 
Moved to student branch
Expenses for cultural activities for BSc as we´ll as MSc. E.g. snacks for various forms of gatherings, film licenses, refurbishment of board game assortment, rental of equipment or financing parts of student admission to external and internal events. </t>
      </text>
    </comment>
    <comment authorId="0" ref="E1669">
      <text>
        <t xml:space="preserve">Event Norra Brunn. 8200 SEK
21/22 Moved to 182053 since the event is under culture week
</t>
      </text>
    </comment>
    <comment authorId="0" ref="E1670">
      <text>
        <t xml:space="preserve">Alcohol purchase for cultural events.</t>
      </text>
    </comment>
    <comment authorId="0" ref="E1671">
      <text>
        <t xml:space="preserve">Marshal costs include necessities such as food, snacks and drinks. According to new template 18/19. Removed due that DJ-Society is no longer active.</t>
      </text>
    </comment>
    <comment authorId="0" ref="E1672">
      <text>
        <t xml:space="preserve">Workwear according to template 18/19. 2 Feminist Society Project Leaders (0,5). 
20/21 Moved to 182019</t>
      </text>
    </comment>
    <comment authorId="0" ref="E1673">
      <text>
        <t xml:space="preserve">Wages for comedians during standup events.</t>
      </text>
    </comment>
    <comment authorId="0" ref="E1674">
      <text>
        <t xml:space="preserve">2*100 for 2 Feminist Society PL(0,5).  
20/21 Moved to 182019</t>
      </text>
    </comment>
    <comment authorId="0" ref="E1675">
      <text>
        <t xml:space="preserve">According to new template. 
2 PL (0,5)  
20/21 Moved to 182019</t>
      </text>
    </comment>
    <comment authorId="0" ref="E1676">
      <text>
        <t xml:space="preserve">Equipment previously used within the Culture Branch (as for the Music Society)</t>
      </text>
    </comment>
    <comment authorId="0" ref="E1677">
      <text>
        <t xml:space="preserve">Moved to Entertainment. </t>
      </text>
    </comment>
    <comment authorId="0" ref="E1678">
      <text>
        <t xml:space="preserve">Transaction fees for ticket sales
Corresponds to 3011</t>
      </text>
    </comment>
    <comment authorId="0" ref="E1682">
      <text>
        <t xml:space="preserve">Costs associated with aranging the seminars during Equality Week
Moved to 212106</t>
      </text>
    </comment>
    <comment authorId="0" ref="E1683">
      <text>
        <t xml:space="preserve">According to new template. 
2 PL (0,5)
Moved to 212106</t>
      </text>
    </comment>
    <comment authorId="0" ref="E1684">
      <text>
        <t xml:space="preserve">Food and drinks for three seminars for 40 people á 70 SEK = 13500 SEK
Equality Week
Moved to 212106</t>
      </text>
    </comment>
    <comment authorId="0" ref="E1685">
      <text>
        <t xml:space="preserve">According to new template. 
2 PL (0,5)
Moved to 212106</t>
      </text>
    </comment>
    <comment authorId="0" ref="E1686">
      <text>
        <t xml:space="preserve">According to new template. 
2 PL (0,5) 2 PG (0,25)
Moved to 212106</t>
      </text>
    </comment>
    <comment authorId="0" ref="E1690">
      <text>
        <t xml:space="preserve">Sponsorhip gained from concets for SSE during the Master and Bachelor Diplomacy Ball.
21/22: Only Bachelor diploma ball</t>
      </text>
    </comment>
    <comment authorId="0" ref="E1691">
      <text>
        <t xml:space="preserve">Potential ticket revenue from concerts</t>
      </text>
    </comment>
    <comment authorId="0" ref="E1692">
      <text>
        <t xml:space="preserve">Marshal costs include necessities such as food, snacks and drinks. According to new template 20/21. 5 half days*5 marshals</t>
      </text>
    </comment>
    <comment authorId="0" ref="E1693">
      <text>
        <t xml:space="preserve">Corresponds to Revenues from school 3010</t>
      </text>
    </comment>
    <comment authorId="0" ref="E1694">
      <text>
        <t xml:space="preserve">According to new template. 
Music society: 2 PL (0,75) 8 PG (0,5)
DJ society: 1 PL (0,75) 2 PG (0,5)
22/23 Added DJ Society</t>
      </text>
    </comment>
    <comment authorId="0" ref="E1695">
      <text>
        <t xml:space="preserve">According to new template. 
2 PL (0,75) 8 PG (0,5)
21/22: 3 more PG
</t>
      </text>
    </comment>
    <comment authorId="0" ref="E1696">
      <text>
        <t xml:space="preserve">According to new template. 
2 PL (0,75) 8 PG (0,5)
21/22: 3 more PG
</t>
      </text>
    </comment>
    <comment authorId="0" ref="E1697">
      <text>
        <t xml:space="preserve">Purchase of instrument and equipment and maintaing the equipment of the Music Society
22/23 Purchases new mixer 2000. Was not bought under 21/22. 
Put back prel 24/25</t>
      </text>
    </comment>
    <comment authorId="0" ref="E1701">
      <text>
        <t xml:space="preserve">Bar sales during pubs.
Correlated to 4012
22/23 Added since great success last 2 years. 
22/23 Increased prices in the bar
</t>
      </text>
    </comment>
    <comment authorId="0" ref="E1702">
      <text>
        <t xml:space="preserve">Bar Purchases for sales in the bar
Only drinks sold in the bar.
22/23 Added since great success last 2 years. 
</t>
      </text>
    </comment>
    <comment authorId="0" ref="E1703">
      <text>
        <t xml:space="preserve">Costs related to events. 
22/23 Added since great success last 2 years. </t>
      </text>
    </comment>
    <comment authorId="0" ref="E1704">
      <text>
        <t xml:space="preserve">According to new template. 
1 PL (0,75) 3 PG (0,5)
22/23 Added since great success last 2 years. 
</t>
      </text>
    </comment>
    <comment authorId="0" ref="E1705">
      <text>
        <t xml:space="preserve">According to new template. 
1 PL (0,75) 3 PG (0,5)
22/23 Added since great success last 2 years. </t>
      </text>
    </comment>
    <comment authorId="0" ref="E1706">
      <text>
        <t xml:space="preserve">According to new template. 
1 PL (0,75) 3 PG (0,5)
22/23 Added since great success last 2 years. </t>
      </text>
    </comment>
    <comment authorId="0" ref="E1707">
      <text>
        <t xml:space="preserve">Cost related to licenses to view Formula 1</t>
      </text>
    </comment>
    <comment authorId="0" ref="E1712">
      <text>
        <t xml:space="preserve">Bar sales for After School Pubs. 
Based on previous sales.
22/23 decreased due to low interest but saved one event.
22/23 Increased prices in the bar
</t>
      </text>
    </comment>
    <comment authorId="0" ref="E1713">
      <text>
        <t xml:space="preserve">Based on previous sales.</t>
      </text>
    </comment>
    <comment authorId="0" ref="E1714">
      <text>
        <t xml:space="preserve">Marshal costs include necessities such as food, snacks and drinks. According to new template 20/21. 
1 half days * 7 marshalls (used for after school pubs)
23/24 Added 1 marshall
</t>
      </text>
    </comment>
    <comment authorId="0" ref="E1715">
      <text>
        <t xml:space="preserve">Workwear according to template. 
6 members (1)
</t>
      </text>
    </comment>
    <comment authorId="0" ref="E1716">
      <text>
        <t xml:space="preserve">Snacks for After School Pubs 
22/23 decreased due to low interest but saved one event.</t>
      </text>
    </comment>
    <comment authorId="0" ref="E1717">
      <text>
        <t xml:space="preserve">Decoration for After School Pub
22/23 decreased due to low interest but saved one event.</t>
      </text>
    </comment>
    <comment authorId="0" ref="E1718">
      <text>
        <t xml:space="preserve">According to new template. 
6 members (1)</t>
      </text>
    </comment>
    <comment authorId="0" ref="E1719">
      <text>
        <t xml:space="preserve">Meetings handover according to template. 
6 members (1)
</t>
      </text>
    </comment>
    <comment authorId="0" ref="E1720">
      <text>
        <t xml:space="preserve">Transportation costs, petrol etc when transporting equipment during banquets and events. </t>
      </text>
    </comment>
    <comment authorId="0" ref="E1724">
      <text>
        <t xml:space="preserve">Budgeted for 262 dinner guests (450 SEK per guest) + 100 after party guests (70 SEK per guest)
22/23 changed due to new prices.</t>
      </text>
    </comment>
    <comment authorId="0" ref="E1725">
      <text>
        <t xml:space="preserve">Internal representation by the social committee board. Corresponds to 6071
23/24 Increase with price increase</t>
      </text>
    </comment>
    <comment authorId="0" ref="E1726">
      <text>
        <t xml:space="preserve">Bar sales during the Hwett &amp; Etiquette (90% margin) Lowered due to results
21/22 Has been put back
</t>
      </text>
    </comment>
    <comment authorId="0" ref="E1727">
      <text>
        <t xml:space="preserve">Rental of crush barriers for after-party entrance
21/22 Has been put back</t>
      </text>
    </comment>
    <comment authorId="0" ref="E1728">
      <text>
        <t xml:space="preserve">Purchase of beverages. (35000/1,9)
21/22 Has been put back</t>
      </text>
    </comment>
    <comment authorId="0" ref="E1729">
      <text>
        <t xml:space="preserve">Marshal costs include necessities such as food, snacks and drinks. 
1,5 days * 45 marshals 
22/23 Added more marshals due to need and outcome</t>
      </text>
    </comment>
    <comment authorId="0" ref="E1730">
      <text>
        <t xml:space="preserve">Food, drinks, tables, napkins, plates, etc. 400 SEK*270 
23/24 Increase due to inflation and outcome</t>
      </text>
    </comment>
    <comment authorId="0" ref="E1731">
      <text>
        <t xml:space="preserve">Decorations accordning to theme
21/22 Has been put back</t>
      </text>
    </comment>
    <comment authorId="0" ref="E1733">
      <text>
        <t xml:space="preserve">Cleaning from public clean in the grand hall
22/23 increased due to higher prices.</t>
      </text>
    </comment>
    <comment authorId="0" ref="E1734">
      <text>
        <t xml:space="preserve">Sound and Light rental
21/22 Has been put back</t>
      </text>
    </comment>
    <comment authorId="0" ref="E1735">
      <text>
        <t xml:space="preserve">8 Social Committee members representation. Corresponds to 3014
21/22 Has been put back</t>
      </text>
    </comment>
    <comment authorId="0" ref="E1736">
      <text>
        <t xml:space="preserve">Security guard expenses: Hwett&amp;Etiquette banquette (6guards * 9,5 * 547,5 SEK) and Hwett&amp;Etiquette pub (2 guards*6h*547,5 SEK) 
22/23 Add two guards  for banquette based on last years outcome 
</t>
      </text>
    </comment>
    <comment authorId="0" ref="E1737">
      <text>
        <t xml:space="preserve">Transaction fees for ticket sales, updated to nortic</t>
      </text>
    </comment>
    <comment authorId="0" ref="E1741">
      <text>
        <t xml:space="preserve">170 guests paying Dagsdojja and party bus (160 kr each)
200 guests paying only for Dagsdojja (140 kr each) 
</t>
      </text>
    </comment>
    <comment authorId="0" ref="E1742">
      <text>
        <t xml:space="preserve">Pre-paid drink tickets 
</t>
      </text>
    </comment>
    <comment authorId="0" ref="E1743">
      <text>
        <t xml:space="preserve">23/24 Zeroed</t>
      </text>
    </comment>
    <comment authorId="0" ref="E1744">
      <text>
        <t xml:space="preserve">23/24 Zeroed</t>
      </text>
    </comment>
    <comment authorId="0" ref="E1745">
      <text>
        <t xml:space="preserve">For the festive branch to organize the event 
1 full day * 8 marshalls 
</t>
      </text>
    </comment>
    <comment authorId="0" ref="E1746">
      <text>
        <t xml:space="preserve">Costs for pre-paid drink ticktes 
</t>
      </text>
    </comment>
    <comment authorId="0" ref="E1747">
      <text>
        <t xml:space="preserve">Cost for entertainment during the event sucb as music, artis or similar</t>
      </text>
    </comment>
    <comment authorId="0" ref="E1748">
      <text>
        <t xml:space="preserve">Decoration and arrangements according to theme </t>
      </text>
    </comment>
    <comment authorId="0" ref="E1749">
      <text>
        <t xml:space="preserve">Rent for external venue </t>
      </text>
    </comment>
    <comment authorId="0" ref="E1750">
      <text>
        <t xml:space="preserve">Cost for party bus for 200 people from external venue to Kravallen 
Included in ticket price (160kr) </t>
      </text>
    </comment>
    <comment authorId="0" ref="E1751">
      <text>
        <t xml:space="preserve">23/24 Zeroed at external location</t>
      </text>
    </comment>
    <comment authorId="0" ref="E1752">
      <text>
        <t xml:space="preserve">23/24 Zeroed at external venue</t>
      </text>
    </comment>
    <comment authorId="0" ref="E1753">
      <text>
        <t xml:space="preserve">Transaction fees for ticket sales, updated to nortic</t>
      </text>
    </comment>
    <comment authorId="0" ref="E1757">
      <text>
        <t xml:space="preserve">Banquet 200 SEK*100 dinner guests.
After party 200 people * 70 sek
</t>
      </text>
    </comment>
    <comment authorId="0" ref="E1758">
      <text>
        <t xml:space="preserve">Social committee member attendance (5*200)
23/24 Increase in ticket price and decreased number</t>
      </text>
    </comment>
    <comment authorId="0" ref="E1759">
      <text>
        <t xml:space="preserve">Margin: 90%
22/23 Increased prices in the bar
</t>
      </text>
    </comment>
    <comment authorId="0" ref="E1760">
      <text>
        <t xml:space="preserve">Rental of crush barriers for after-party entrance
</t>
      </text>
    </comment>
    <comment authorId="0" ref="E1761">
      <text>
        <t xml:space="preserve">Alcohol purchase</t>
      </text>
    </comment>
    <comment authorId="0" ref="E1762">
      <text>
        <t xml:space="preserve">Marshal costs include necessities such as food, snacks and drinks. According to new template 20/21.
1 day*21 marshals 
23/24 Added 4 marshalls</t>
      </text>
    </comment>
    <comment authorId="0" ref="E1763">
      <text>
        <t xml:space="preserve">Food and drinks for the dinner. 200 SEK per guest (100 guest)
23/24 Increased due to price increase
</t>
      </text>
    </comment>
    <comment authorId="0" ref="E1764">
      <text>
        <t xml:space="preserve">Decorations for creating a Scanian feeling</t>
      </text>
    </comment>
    <comment authorId="0" ref="E1765">
      <text>
        <t xml:space="preserve">Social Committee member attendance, 7*140 kr</t>
      </text>
    </comment>
    <comment authorId="0" ref="E1766">
      <text>
        <t xml:space="preserve">Banquet 2 guards 2,5h
After party 8 guards 5,5h</t>
      </text>
    </comment>
    <comment authorId="0" ref="E1767">
      <text>
        <t xml:space="preserve">Transaction fees for ticket sales, updated to nortic</t>
      </text>
    </comment>
    <comment authorId="0" ref="E1771">
      <text>
        <t xml:space="preserve">450 people 70 sek per ticket
22/23 Decreased back to one event. 
</t>
      </text>
    </comment>
    <comment authorId="0" ref="E1772">
      <text>
        <t xml:space="preserve">Social committee member attendance (7*140)</t>
      </text>
    </comment>
    <comment authorId="0" ref="E1773">
      <text>
        <t xml:space="preserve">Margin: 90%
22/23 Decreased back to one event.
22/23 Increased prices in the bar
 </t>
      </text>
    </comment>
    <comment authorId="0" ref="E1774">
      <text>
        <t xml:space="preserve">Alcohol purchase</t>
      </text>
    </comment>
    <comment authorId="0" ref="E1775">
      <text>
        <t xml:space="preserve">Marshal costs include necessities such as food, snacks and drinks. According to new template 20/21.
1 full day*21 marshalls 
23/24 Increase of marshalls due to 0,25 members also working</t>
      </text>
    </comment>
    <comment authorId="0" ref="E1776">
      <text>
        <t xml:space="preserve">Based on previous years 
22/23 Decreased back to one event. </t>
      </text>
    </comment>
    <comment authorId="0" ref="E1778">
      <text>
        <t xml:space="preserve">5 guards for 6 hour and 1 guard for 7 hours
22/23 Decreased back to one event. </t>
      </text>
    </comment>
    <comment authorId="0" ref="E1779">
      <text>
        <t xml:space="preserve">Transaction fees for ticket sales, updated to nortic
22/23 Decreased back to one event.
</t>
      </text>
    </comment>
    <comment authorId="0" ref="E1784">
      <text>
        <t xml:space="preserve">22/23 Added to allow for ticket sale for certain guru organized events </t>
      </text>
    </comment>
    <comment authorId="0" ref="E1785">
      <text>
        <t xml:space="preserve">Costs for arranging events and activities relating to student culture and cultural interests
e.g. Football pubs, Board game nights, Karaoke, dinner nights, pub crawl etc. 
22/23 moved from Culture Branch. 
23/24 Increase due to outcome and price increase</t>
      </text>
    </comment>
    <comment authorId="0" ref="E1786">
      <text>
        <t xml:space="preserve">Workwear according to template. 
2 members (1)</t>
      </text>
    </comment>
    <comment authorId="0" ref="E1787">
      <text>
        <t xml:space="preserve">Meetings handover according to template. 
2 members (1)</t>
      </text>
    </comment>
    <comment authorId="0" ref="E1788">
      <text>
        <t xml:space="preserve">Costs for travel relating to organizing and planning events with other universities and student associations</t>
      </text>
    </comment>
    <comment authorId="0" ref="E1789">
      <text>
        <t xml:space="preserve">According to new template. 
2 members (1)</t>
      </text>
    </comment>
    <comment authorId="0" ref="E1790">
      <text>
        <t xml:space="preserve">Representing SASSE towards other universities and student associations when planning and organizing events for SASSE members</t>
      </text>
    </comment>
    <comment authorId="0" ref="E1791">
      <text>
        <t xml:space="preserve">Transaction fees for ticket sales, updated to nortic
</t>
      </text>
    </comment>
    <comment authorId="0" ref="E1795">
      <text>
        <t xml:space="preserve">485 sek for Uppsala banquet a 50 ppl
100 sek for busses a 50 ppl
Two times a year
22/23 added due to positive event with large interest both from SSE students and Uppsala students.
23/24 Increase due to outcome and increased ticket price</t>
      </text>
    </comment>
    <comment authorId="0" ref="E1796">
      <text>
        <t xml:space="preserve">Internal ticket revenue from Student branch members during the events
3 ppl a 450 sek two times
22/23 added due to positive event with large interest both from SSE students and Uppsala students.</t>
      </text>
    </comment>
    <comment authorId="0" ref="E1797">
      <text>
        <t xml:space="preserve">Margin: 90%</t>
      </text>
    </comment>
    <comment authorId="0" ref="E1798">
      <text>
        <t xml:space="preserve">22/23 Rental of silent disco equipment and crash barriers </t>
      </text>
    </comment>
    <comment authorId="0" ref="E1799">
      <text>
        <t xml:space="preserve">22/23 Estimated bas on other events</t>
      </text>
    </comment>
    <comment authorId="0" ref="E1800">
      <text>
        <t xml:space="preserve">22/23 22 people half day </t>
      </text>
    </comment>
    <comment authorId="0" ref="E1801">
      <text>
        <t xml:space="preserve">485 sek for Uppsala banquet a 50 ppl
Invoice from Uppsala 
Two times a year
22/23 added due to positive event with large interest both from SSE students and Uppsala students.
23/24 Changed to match ticket revenue</t>
      </text>
    </comment>
    <comment authorId="0" ref="E1802">
      <text>
        <t xml:space="preserve">22/23 Decorations for pub during event</t>
      </text>
    </comment>
    <comment authorId="0" ref="E1803">
      <text>
        <t xml:space="preserve">22/23 50 sek á 100 people, 1 unit drink and snacks </t>
      </text>
    </comment>
    <comment authorId="0" ref="E1804">
      <text>
        <t xml:space="preserve">Busses to Uppsala back and forth. 
Two times a year.
22/23 added due to positive event with large interest both from SSE students and Uppsala students.</t>
      </text>
    </comment>
    <comment authorId="0" ref="E1805">
      <text>
        <t xml:space="preserve">Internal ticket revenue from Student branch members during the events
3 ppl a 485 sek two times
22/23 added due to positive event with large interest both from SSE students and Uppsala students.</t>
      </text>
    </comment>
    <comment authorId="0" ref="E1806">
      <text>
        <t xml:space="preserve">22/23 1 guard for 7 hours and 6 guards for 6 hours 
7*531,21+6*6*531,21</t>
      </text>
    </comment>
    <comment authorId="0" ref="E1807">
      <text>
        <t xml:space="preserve">22/23 Estimate 100 tickets for event + 300 tickets for afterparty 
100*12,5+300*6.25
</t>
      </text>
    </comment>
    <comment authorId="0" ref="E1811">
      <text>
        <t xml:space="preserve">100 people 100 sek per ticket</t>
      </text>
    </comment>
    <comment authorId="0" ref="E1812">
      <text>
        <t xml:space="preserve">Margin: 90%
22/23 Increased prices in the bar
</t>
      </text>
    </comment>
    <comment authorId="0" ref="E1813">
      <text>
        <t xml:space="preserve">purchase drinks to be sold in the bar.
Correlates to 3030</t>
      </text>
    </comment>
    <comment authorId="0" ref="E1814">
      <text>
        <t xml:space="preserve">8 members half day a 40 sek.</t>
      </text>
    </comment>
    <comment authorId="0" ref="E1815">
      <text>
        <t xml:space="preserve">Arrangements for games during the event.</t>
      </text>
    </comment>
    <comment authorId="0" ref="E1816">
      <text>
        <t xml:space="preserve">Alcohol included in ticket price. </t>
      </text>
    </comment>
    <comment authorId="0" ref="E1817">
      <text>
        <t xml:space="preserve">22/23 Estimated bas on other events</t>
      </text>
    </comment>
    <comment authorId="0" ref="E1818">
      <text>
        <t xml:space="preserve">22/23 22 people half day </t>
      </text>
    </comment>
    <comment authorId="0" ref="E1822">
      <text>
        <t xml:space="preserve">Ticket Revenue from events</t>
      </text>
    </comment>
    <comment authorId="0" ref="E1823">
      <text>
        <t xml:space="preserve">22/23 Grant removed</t>
      </text>
    </comment>
    <comment authorId="0" ref="E1824">
      <text>
        <t xml:space="preserve">2 in-house after school pubs with bar sales
22/23 Increased prices in the bar
</t>
      </text>
    </comment>
    <comment authorId="0" ref="E1825">
      <text>
        <t xml:space="preserve">2 in-house after school pubs with purchases of drinks of 6000 SEK per night.</t>
      </text>
    </comment>
    <comment authorId="0" ref="E1826">
      <text>
        <t xml:space="preserve">Marshal costs include necessities such as food, snacks and drinks. for pubs during the year.
According to new template 20/21.
2 half days * 10 marshals 
</t>
      </text>
    </comment>
    <comment authorId="0" ref="E1827">
      <text>
        <t xml:space="preserve">22/23 Grant removed</t>
      </text>
    </comment>
    <comment authorId="0" ref="E1828">
      <text>
        <t xml:space="preserve">Workwear according to template 21/22. 2 PL (2), 5 Board members (1,25) + 23 PG (0,5)
20/21 
Medals cost for PL goes on 182000 only printing on the medals will be put here.
Changed due to more members
</t>
      </text>
    </comment>
    <comment authorId="0" ref="E1829">
      <text>
        <t xml:space="preserve">Meetings handover according to template 18/19. 2 PL (2), 5 board members (1,25), 23 PG (0,5)
20/21 Changed due to more members
</t>
      </text>
    </comment>
    <comment authorId="0" ref="E1830">
      <text>
        <t xml:space="preserve">According to new template 18/19. 2 PL (2), 5 Board members (1,25), 23 PG (0,5)
20/21 Changed due to more members</t>
      </text>
    </comment>
    <comment authorId="0" ref="E1831">
      <text>
        <t xml:space="preserve">Internal representation for 2 MC master gasque project leaders to attend the master gasque and Whetten
23/24 Increase in line with tickets for Hvetten</t>
      </text>
    </comment>
    <comment authorId="0" ref="E1835">
      <text>
        <t xml:space="preserve">60 guests * 85 SEK/ticket.
21/22 can not happen since it should take place during early spring
</t>
      </text>
    </comment>
    <comment authorId="0" ref="E1836">
      <text>
        <t xml:space="preserve">Bar sales
21/22 can not happen since it should take place during early spring
</t>
      </text>
    </comment>
    <comment authorId="0" ref="E1837">
      <text>
        <t xml:space="preserve">19/20: Removed since there will be no need for crush barriers 
21/22 can not happen since it should take place during early spring
</t>
      </text>
    </comment>
    <comment authorId="0" ref="E1838">
      <text>
        <t xml:space="preserve">Costs for drinks
21/22 can not happen since it should take place during early spring
</t>
      </text>
    </comment>
    <comment authorId="0" ref="E1839">
      <text>
        <t xml:space="preserve">21/22 can not happen since it should take place during early spring
</t>
      </text>
    </comment>
    <comment authorId="0" ref="E1840">
      <text>
        <t xml:space="preserve">Food and drinks for the party. Calculated at 65 SEK*60
21/22 can not happen since it should take place during early spring
</t>
      </text>
    </comment>
    <comment authorId="0" ref="E1841">
      <text>
        <t xml:space="preserve">Arrangements for decoration the party
21/22 can not happen since it should take place during early spring
</t>
      </text>
    </comment>
    <comment authorId="0" ref="E1842">
      <text>
        <t xml:space="preserve">18/19: Removed due to no need for guards
</t>
      </text>
    </comment>
    <comment authorId="0" ref="E1843">
      <text>
        <t xml:space="preserve">Transaction fees for ticket sales, updated to nortic
21/22 can not happen since it should take place during early spring
</t>
      </text>
    </comment>
    <comment authorId="0" ref="E1847">
      <text>
        <t xml:space="preserve">No longer arranged.</t>
      </text>
    </comment>
    <comment authorId="0" ref="E1848">
      <text>
        <t xml:space="preserve">No longer arranged.</t>
      </text>
    </comment>
    <comment authorId="0" ref="E1849">
      <text>
        <t xml:space="preserve">No longer arranged.</t>
      </text>
    </comment>
    <comment authorId="0" ref="E1850">
      <text>
        <t xml:space="preserve">No longer arranged.</t>
      </text>
    </comment>
    <comment authorId="0" ref="E1851">
      <text>
        <t xml:space="preserve">No longer arranged.</t>
      </text>
    </comment>
    <comment authorId="0" ref="E1852">
      <text>
        <t xml:space="preserve">No longer arranged.</t>
      </text>
    </comment>
    <comment authorId="0" ref="E1853">
      <text>
        <t xml:space="preserve">No longer arranged.</t>
      </text>
    </comment>
    <comment authorId="0" ref="E1857">
      <text>
        <t xml:space="preserve">Ticket revenue 350 people * 70 sek 2 times 
</t>
      </text>
    </comment>
    <comment authorId="0" ref="E1858">
      <text>
        <t xml:space="preserve">Raised due to outcome
22/23 Increased prices in the bar
</t>
      </text>
    </comment>
    <comment authorId="0" ref="E1859">
      <text>
        <t xml:space="preserve">Rental of crush barriers
21/22 put back to a normal year</t>
      </text>
    </comment>
    <comment authorId="0" ref="E1860">
      <text>
        <t xml:space="preserve">Alcohol purchase
21/22 put back to a normal year</t>
      </text>
    </comment>
    <comment authorId="0" ref="E1861">
      <text>
        <t xml:space="preserve">Marshal costs include necessities such as food, snacks and drinks. According to new template 20/21.
100 SEK * 20 all night workers*2
21/22 put back to a normal year</t>
      </text>
    </comment>
    <comment authorId="0" ref="E1862">
      <text>
        <t xml:space="preserve">Ornaments for the event. increased due to increased need and more events. 3000 per time</t>
      </text>
    </comment>
    <comment authorId="0" ref="E1863">
      <text>
        <t xml:space="preserve">Hourly fee * 8 guards * 5,5 hours x 2 events
Increased due to needing more guards due to bigger party than before
21/22 put back to a normal year</t>
      </text>
    </comment>
    <comment authorId="0" ref="E1864">
      <text>
        <t xml:space="preserve">Transaction fees for ticket sales, updated to nortic
21/22 put back to a normal year</t>
      </text>
    </comment>
    <comment authorId="0" ref="E1868">
      <text>
        <t xml:space="preserve">Ticket revenue for ugly banquet and afterparty
50*150 sek + 50*70 sek
23/24 Added</t>
      </text>
    </comment>
    <comment authorId="0" ref="E1869">
      <text>
        <t xml:space="preserve">Bar sales
23/24 Added</t>
      </text>
    </comment>
    <comment authorId="0" ref="E1870">
      <text>
        <t xml:space="preserve">Food and drinks for the ugly banquet
50 guests + 3 units per person
23/24 Added</t>
      </text>
    </comment>
    <comment authorId="0" ref="E1871">
      <text>
        <t xml:space="preserve">Purchase of alcohol
23/24 Added</t>
      </text>
    </comment>
    <comment authorId="0" ref="E1872">
      <text>
        <t xml:space="preserve">Marshal costs include necessities such as food, snacks and drinks. According to new template
32 * 40 SEK 
23/24 Added</t>
      </text>
    </comment>
    <comment authorId="0" ref="E1873">
      <text>
        <t xml:space="preserve">Decor accoring to theme for the ugly banquet and afterparty
23/24</t>
      </text>
    </comment>
    <comment authorId="0" ref="E1880">
      <text>
        <t xml:space="preserve">Ticket Revenue from events
Zeroed as the amount and nature of the events that will be held is still unclear. Project leaders will be able to match costs with ticket revenues for an event. 
22/23 removed since no interest last years.
</t>
      </text>
    </comment>
    <comment authorId="0" ref="E1881">
      <text>
        <t xml:space="preserve">2 smaller events which bar sales. 1 after school event with ca 35 ppl, one Christmas dinner with 50 people.
20/21 Decreased due to Corona
</t>
      </text>
    </comment>
    <comment authorId="0" ref="E1882">
      <text>
        <t xml:space="preserve">Costs for drink purchase. Bar sales/1,9
</t>
      </text>
    </comment>
    <comment authorId="0" ref="E1883">
      <text>
        <t xml:space="preserve">Marshal costs include necessities such as food, snacks and drinks. According to new template 20/21.
5 people for 2 half day events =5*40*2= 400
20/21 Only one school pub 
</t>
      </text>
    </comment>
    <comment authorId="0" ref="E1884">
      <text>
        <t xml:space="preserve">Snacks for after school event
20/21 Only one school pub </t>
      </text>
    </comment>
    <comment authorId="0" ref="E1885">
      <text>
        <t xml:space="preserve">Arrangements for the 3 events. Including plates for events, Halloween decorations etc.
20/21 Only one school pub </t>
      </text>
    </comment>
    <comment authorId="0" ref="E1886">
      <text>
        <t xml:space="preserve">2 PL(1) and 5 PG (0,5)
</t>
      </text>
    </comment>
    <comment authorId="0" ref="E1887">
      <text>
        <t xml:space="preserve">Meetings handover according to template. 
2 PL (1), 5 PG (0,5)
</t>
      </text>
    </comment>
    <comment authorId="0" ref="E1888">
      <text>
        <t xml:space="preserve">According to new template. 
2 PL (1), 5 PG (0,5)
</t>
      </text>
    </comment>
    <comment authorId="0" ref="E1892">
      <text>
        <t xml:space="preserve">0 since the nature of the event
22/23 removed since no interest last years.</t>
      </text>
    </comment>
    <comment authorId="0" ref="E1893">
      <text>
        <t xml:space="preserve">Bar sales
21/22 put back to a normal year</t>
      </text>
    </comment>
    <comment authorId="0" ref="E1894">
      <text>
        <t xml:space="preserve">Bar sales/1,9
21/22 put back to a normal year</t>
      </text>
    </comment>
    <comment authorId="0" ref="E1895">
      <text>
        <t xml:space="preserve">Marshal costs include necessities such as food, snacks and drinks. According to new template 20/21.
5 people a half day (5*40)
21/22 put back to a normal year</t>
      </text>
    </comment>
    <comment authorId="0" ref="E1896">
      <text>
        <t xml:space="preserve">Snacks for the event
21/22 put back to a normal year</t>
      </text>
    </comment>
    <comment authorId="0" ref="E1897">
      <text>
        <t xml:space="preserve">Arrangements for the Oktoberfest
21/22 put back to a normal year</t>
      </text>
    </comment>
    <comment authorId="0" ref="E1898">
      <text>
        <t xml:space="preserve">Transaction fees for ticket sales, updated to nortic</t>
      </text>
    </comment>
    <comment authorId="0" ref="E1902">
      <text>
        <t xml:space="preserve">Ticket revenue 
22/23 removed since no interest last years.</t>
      </text>
    </comment>
    <comment authorId="0" ref="E1903">
      <text>
        <t xml:space="preserve">Bar sales, wine tasting
</t>
      </text>
    </comment>
    <comment authorId="0" ref="E1904">
      <text>
        <t xml:space="preserve">Bar sales/1,9
</t>
      </text>
    </comment>
    <comment authorId="0" ref="E1905">
      <text>
        <t xml:space="preserve">Cheese for the wine tasting
</t>
      </text>
    </comment>
    <comment authorId="0" ref="E1906">
      <text>
        <t xml:space="preserve">5 people a half day (5*40)</t>
      </text>
    </comment>
    <comment authorId="0" ref="E1907">
      <text>
        <t xml:space="preserve">Ornaments for wine tasting
</t>
      </text>
    </comment>
    <comment authorId="0" ref="E1908">
      <text>
        <t xml:space="preserve">Transaction fees for ticket sales, updated to nortic</t>
      </text>
    </comment>
    <comment authorId="0" ref="E1967">
      <text>
        <t xml:space="preserve">Ticket revenue for the parent dinner 120*150 SEK
23/24 Increase due to more parents</t>
      </text>
    </comment>
    <comment authorId="0" ref="E1968">
      <text>
        <t xml:space="preserve">Sponsoring for company events during the introduction week.
40 000 Bain &amp; Co
0,8 * 40 000 McKinsey
0,9 * 40 000 BCG
20 000 Akavia
0,8 * 40 000 Deloitte
21/22: decreased to make the introductions less commercial and update BCG long term discount + Deloitte is back
</t>
      </text>
    </comment>
    <comment authorId="0" ref="E1969">
      <text>
        <t xml:space="preserve">Acquired through Sten Haglunds Minnesfond. Has been more evenly adjusted between the introductions based on the number of students at the different programs.
22/23 Don't need because liquidity is fine
23/24 125 000 sek split between the master and bachelour introduction</t>
      </text>
    </comment>
    <comment authorId="0" ref="E1970">
      <text>
        <t xml:space="preserve">Folkuniversitet grants
21/22 Folkuniversitet guidelines, no grant this year
</t>
      </text>
    </comment>
    <comment authorId="0" ref="E1971">
      <text>
        <t xml:space="preserve">22/23 New seperate account for parent group outfits 
20 groups, gets 500SEK each </t>
      </text>
    </comment>
    <comment authorId="0" ref="E1972">
      <text>
        <t xml:space="preserve">Working clothes for the Småtting Committee (200*25*2) + hoodies (25*550) + shorts (200*25)
Note: Workwear for the Introduction Committee and the Entertainment Committee are not part of the template suggested. 
20/21 rised due to more persons</t>
      </text>
    </comment>
    <comment authorId="0" ref="E1973">
      <text>
        <t xml:space="preserve">Food and Drinks for the parent dinner
More people and ticket prices during Parent dinner</t>
      </text>
    </comment>
    <comment authorId="0" ref="E1974">
      <text>
        <t xml:space="preserve">Meetings handover according to template. 
4 PL (2), 21 PG (1,5)</t>
      </text>
    </comment>
    <comment authorId="0" ref="E1975">
      <text>
        <t xml:space="preserve">According to new template. 
4 PL (2), 21 PG (1,5), 20 head parents (0,25)</t>
      </text>
    </comment>
    <comment authorId="0" ref="E1976">
      <text>
        <t xml:space="preserve">Transportation of equipment for events during introduction week.</t>
      </text>
    </comment>
    <comment authorId="0" ref="E1977">
      <text>
        <t xml:space="preserve">2 Guards during parent dinner
23/24 Decreased due outcome</t>
      </text>
    </comment>
    <comment authorId="0" ref="E1981">
      <text>
        <t xml:space="preserve">Merged with BE</t>
      </text>
    </comment>
    <comment authorId="0" ref="E1982">
      <text>
        <t xml:space="preserve">Merged with BE</t>
      </text>
    </comment>
    <comment authorId="0" ref="E1983">
      <text>
        <t xml:space="preserve">Merged with BE</t>
      </text>
    </comment>
    <comment authorId="0" ref="E1984">
      <text>
        <t xml:space="preserve">Merged with BE</t>
      </text>
    </comment>
    <comment authorId="0" ref="E1985">
      <text>
        <t xml:space="preserve">Merged with BE</t>
      </text>
    </comment>
    <comment authorId="0" ref="E1989">
      <text>
        <t xml:space="preserve">Icakräftis 60*110 sek
Musikquiz 64*90 sek
23/24 Kårridorskrök added as event with free entry</t>
      </text>
    </comment>
    <comment authorId="0" ref="E1990">
      <text>
        <t xml:space="preserve">Internal ticket revenue from the SASSE board and the introduction committee. </t>
      </text>
    </comment>
    <comment authorId="0" ref="E1991">
      <text>
        <t xml:space="preserve">Bar sales
23/24 Kårridordskrök added and in line with outcome</t>
      </text>
    </comment>
    <comment authorId="0" ref="E1992">
      <text>
        <t xml:space="preserve">Purchases associated with the intro week.
Welcoming fika for international students (1000 sek)
21/22 put back to a normal year</t>
      </text>
    </comment>
    <comment authorId="0" ref="E1993">
      <text>
        <t xml:space="preserve">Drinks to be sold in the bar
Approx: Beer 13,5*200 + Cider 100*17,5 + alcoholfree 12*15
</t>
      </text>
    </comment>
    <comment authorId="0" ref="E1994">
      <text>
        <t xml:space="preserve">Printing during the Introduction Weeks (pamflets etc) - previously this cost was with the Småtting Guide printing
21/22 put back to a normal year</t>
      </text>
    </comment>
    <comment authorId="0" ref="E1995">
      <text>
        <t xml:space="preserve">nortic fee</t>
      </text>
    </comment>
    <comment authorId="0" ref="E1996">
      <text>
        <t xml:space="preserve">SK attending the HMGPSS, intro pub x2, uppsamlingsheatet. 25 * 450 SEK Connected to 3014 in 19xx09
23/24 Increase in line with ticket prices, added one SK member</t>
      </text>
    </comment>
    <comment authorId="0" ref="E2000">
      <text>
        <t xml:space="preserve">Småtting Trip sponsor Arthur D. Little 1*40000 SEK</t>
      </text>
    </comment>
    <comment authorId="0" ref="E2001">
      <text>
        <t xml:space="preserve">Calculated 265*450 småttingar
30*500 parents
21/22 put back to a normal year</t>
      </text>
    </comment>
    <comment authorId="0" ref="E2002">
      <text>
        <t xml:space="preserve">Internal ticket revenue from the SASSE board and the introduction committee. 
11*500 connected to 6071 10xx01
25*500 connected to 6071 18xx62
23/24 Added one SK member</t>
      </text>
    </comment>
    <comment authorId="0" ref="E2003">
      <text>
        <t xml:space="preserve">Arrangements such as sound and lighting for the banquet, accomodation for the chauffeurs, costumes, and equipment for games, etc. 
Artist 10 000
Cannos 500
21/22 put back to a normal year</t>
      </text>
    </comment>
    <comment authorId="0" ref="E2004">
      <text>
        <t xml:space="preserve">Transport by bus. Calculated on 320 people.
23/24 Increase in line with outcome</t>
      </text>
    </comment>
    <comment authorId="0" ref="E2005">
      <text>
        <t xml:space="preserve">Dinner at the banquette SEK 185 * 320 (småttingar + parents  + SK) 
Two drinks and a shot SEK 80 *320*2 + 40*320 (småttingar + parents + SASSE board) accounted for in the ticket price.
Breakfast 80*320
21/22 put back to a normal year</t>
      </text>
    </comment>
    <comment authorId="0" ref="E2006">
      <text>
        <t xml:space="preserve">Accomodation for 320 guests. A combination of hotel rooms and cabinets. Breakfast is included.</t>
      </text>
    </comment>
    <comment authorId="0" ref="E2007">
      <text>
        <t xml:space="preserve">Attendance at the trip for SK 500*25</t>
      </text>
    </comment>
    <comment authorId="0" ref="E2008">
      <text>
        <t xml:space="preserve">Transaction fees for ticket sales, updated to nortic
21/22 put back to a normal year</t>
      </text>
    </comment>
    <comment authorId="0" ref="E2015">
      <text>
        <t xml:space="preserve">Ticket revenue for the buddy group retreat to Enoksro. 
165 SEK * 52
Connected to 4047</t>
      </text>
    </comment>
    <comment authorId="0" ref="E2016">
      <text>
        <t xml:space="preserve">Sponsorship for the Master introduction.
22/23: Aspirations should be higher</t>
      </text>
    </comment>
    <comment authorId="0" ref="E2017">
      <text>
        <t xml:space="preserve">Acquired through Sten Haglunds Minnesfond
23/24 125 000 sek split between the master and bachelour introduction</t>
      </text>
    </comment>
    <comment authorId="0" ref="E2018">
      <text>
        <t xml:space="preserve">Grants from folkuniversitetet for "studiecirklar"
21/22 Zeroed by folkuniversitet this year.
</t>
      </text>
    </comment>
    <comment authorId="0" ref="E2019">
      <text>
        <t xml:space="preserve">Arrangements for the buddy group retreat to enoksro. Meant for cleaning, food and drinks, decorations, etc. Connected to 3011.  </t>
      </text>
    </comment>
    <comment authorId="0" ref="E2020">
      <text>
        <t xml:space="preserve">Working clothes for the Master Committee, 10*2*200 + 12*550+shorts 10*200
23/24 Lowered due to fewer members</t>
      </text>
    </comment>
    <comment authorId="0" ref="E2021">
      <text>
        <t xml:space="preserve">Food and drinks for buddy group parents. Meant to subsidise food and drinks at the buddy group retreat at Enoksro, similar to the småtting parent dinner.</t>
      </text>
    </comment>
    <comment authorId="0" ref="E2022">
      <text>
        <t xml:space="preserve">Meetings handover according to template. 
2 PL (2), 8 PG (1,5)
23/24 Decreased members</t>
      </text>
    </comment>
    <comment authorId="0" ref="E2023">
      <text>
        <t xml:space="preserve">According to new template. 
2 PL (2), 8 PG (1,5) 22 Buddies (0,25)
23/24 Decreased the members</t>
      </text>
    </comment>
    <comment authorId="0" ref="E2025">
      <text>
        <t xml:space="preserve">Transaction fees for ticket sales, updated to nortic</t>
      </text>
    </comment>
    <comment authorId="0" ref="E2029">
      <text>
        <t xml:space="preserve">Ticket revenues from various events during the intro week. Package price for multiple events.
23/24 Lowered due to outcome</t>
      </text>
    </comment>
    <comment authorId="0" ref="E2030">
      <text>
        <t xml:space="preserve">Bar sales from pub crawl. Based on previous years' outcome.
22/23 Increased prices in the bar
Musikquiz: Beer 13,5*200 + Cider 100*17,5 + alcoholfree 12*15
23/24 Increased in line with outcome</t>
      </text>
    </comment>
    <comment authorId="0" ref="E2031">
      <text>
        <t xml:space="preserve">Purchases associated with events during the Introduction Week 
23/24 Decreased in in line with ticket revenue</t>
      </text>
    </comment>
    <comment authorId="0" ref="E2032">
      <text>
        <t xml:space="preserve">Based on previous years' outcome
21/22 put back to a normal year</t>
      </text>
    </comment>
    <comment authorId="0" ref="E2034">
      <text>
        <t xml:space="preserve">Internal representation to master intro pub organised by PU 12*70
21/22 put back to a normal year</t>
      </text>
    </comment>
    <comment authorId="0" ref="E2035">
      <text>
        <t xml:space="preserve">Transaction fees for ticket sales, updated to nortic
21/22 put back to a normal year</t>
      </text>
    </comment>
    <comment authorId="0" ref="E2039">
      <text>
        <t xml:space="preserve">270 ppl * 250 SEK
</t>
      </text>
    </comment>
    <comment authorId="0" ref="E2040">
      <text>
        <t xml:space="preserve">Internal representation for the Master introduction committee.
21/22 put back to a normal year</t>
      </text>
    </comment>
    <comment authorId="0" ref="E2041">
      <text>
        <t xml:space="preserve">Marshal costs include necessities such as food, snacks and drinks. According to
new template 18/19. 1 full day.
21/22 put back to a normal year</t>
      </text>
    </comment>
    <comment authorId="0" ref="E2042">
      <text>
        <t xml:space="preserve">Food, drinks, tables, napkins, plates, etc.
21/22 put back to a normal year</t>
      </text>
    </comment>
    <comment authorId="0" ref="E2043">
      <text>
        <t xml:space="preserve">Decorations for the Grand Hall
21/22 put back to a normal year</t>
      </text>
    </comment>
    <comment authorId="0" ref="E2045">
      <text>
        <t xml:space="preserve">Sound and lights for the Grand Hall. Lowered due to central purchases.</t>
      </text>
    </comment>
    <comment authorId="0" ref="E2046">
      <text>
        <t xml:space="preserve">Intro committee MSc, 12 ppl * 250 SEK = 3000 kr
Connected to 3014
21/22 put back to a normal year</t>
      </text>
    </comment>
    <comment authorId="0" ref="E2047">
      <text>
        <t xml:space="preserve">Transaction fees for ticket sales, updated to nortic
21/22 put back to a normal year</t>
      </text>
    </comment>
    <comment authorId="0" ref="E2051">
      <text>
        <t xml:space="preserve">255 students à 355 SEK and 33 buddies à 95 SEK
</t>
      </text>
    </comment>
    <comment authorId="0" ref="E2052">
      <text>
        <t xml:space="preserve">Internal representation for the Master introduction committee
Connected to 6071
23/24 Lowered due to fewer members</t>
      </text>
    </comment>
    <comment authorId="0" ref="E2053">
      <text>
        <t xml:space="preserve">Removed due to that the event is held on an external location</t>
      </text>
    </comment>
    <comment authorId="0" ref="E2054">
      <text>
        <t xml:space="preserve">Removed due to that the event is held on an external location
</t>
      </text>
    </comment>
    <comment authorId="0" ref="E2055">
      <text>
        <t xml:space="preserve">Arrangements includes: food and drinks, venue hire, sound and light equipment and daytime activities. Based on previous years' outcome.
23/24 Increase in line with outcome</t>
      </text>
    </comment>
    <comment authorId="0" ref="E2056">
      <text>
        <t xml:space="preserve">Transport by bus to Taxinge for all attendees.
21/22 put back to a normal year</t>
      </text>
    </comment>
    <comment authorId="0" ref="E2057">
      <text>
        <t xml:space="preserve">Intro committee MSc, 10 ppl * 355kr = 3550 kr
Connected to 3014
23/24 Decreased number of members</t>
      </text>
    </comment>
    <comment authorId="0" ref="E2058">
      <text>
        <t xml:space="preserve">Transaction fees for ticket sales, updated to nortic
21/22 put back to a normal year</t>
      </text>
    </comment>
    <comment authorId="0" ref="E2065">
      <text>
        <t xml:space="preserve">Based on approximation of selling two packages of 10 000 SEK each, which includes coverage in both master and bachelor introduction guides. Raised according to result.
23/24 Decreased in line wiht outcome, selling two packages for ads</t>
      </text>
    </comment>
    <comment authorId="0" ref="E2066">
      <text>
        <t xml:space="preserve">Higher based on outcome with Printer as supplier. 
23/24 Increased in line with outcome</t>
      </text>
    </comment>
    <comment authorId="0" ref="E2067">
      <text>
        <t xml:space="preserve">removed since this is paid by the SSE. 
22/23 Removed since hard to manage with all international students.</t>
      </text>
    </comment>
    <comment authorId="0" ref="E2086">
      <text>
        <t xml:space="preserve">Ticket revenue to external performances and internal events (spex-dinner during the fall). Lowered due to not occuring previous years.</t>
      </text>
    </comment>
    <comment authorId="0" ref="E2087">
      <text>
        <t xml:space="preserve">Lowered due to not occuring previous years.</t>
      </text>
    </comment>
    <comment authorId="0" ref="E2088">
      <text>
        <t xml:space="preserve">Arrangment-costs associated with performances and events. Lowered due to not occuring previous years.</t>
      </text>
    </comment>
    <comment authorId="0" ref="E2089">
      <text>
        <t xml:space="preserve">Food for a spex-dinner during the fall. Lowered due to not occuring previous years.</t>
      </text>
    </comment>
    <comment authorId="0" ref="E2090">
      <text>
        <t xml:space="preserve">Moved to the Student Farce Budget </t>
      </text>
    </comment>
    <comment authorId="0" ref="E2091">
      <text>
        <t xml:space="preserve">Tickets or cost related to representation at other spexs in Stockholm, Uppsala or possibly Hanken. Lowered due to not occuring previous years.</t>
      </text>
    </comment>
    <comment authorId="0" ref="E2100">
      <text>
        <t xml:space="preserve">Revenue from the Committee sponsor. (64 000) EY
</t>
      </text>
    </comment>
    <comment authorId="0" ref="E2101">
      <text>
        <t xml:space="preserve">Def 22/23 check dödsrycksv.
Crush barriers:
After-exam party 5500
Spring party 5500
Summerparty 10000
Introweeks 10000
Gasque BsC &amp; Master 7000
Halloween 5500
Winterball 5500
Esten 5500
Skipub 5500
Omfesten 5500
Anniversairy feast 5500
23/24 Increase due to additional events</t>
      </text>
    </comment>
    <comment authorId="0" ref="E2102">
      <text>
        <t xml:space="preserve">1000 kr for buying treats during the introductory week; Bachelors, Masters and Exchange. </t>
      </text>
    </comment>
    <comment authorId="0" ref="E2103">
      <text>
        <t xml:space="preserve">CO2 gas for parties. 2 bottles à 1600 SEK for the Gasque, Summer Party, and the Annual Ball. 1 bottle à 1600 for Esten
7 bottles in total
23/24 Added back based on the estimated cost of previous years
</t>
      </text>
    </comment>
    <comment authorId="0" ref="E2104">
      <text>
        <t xml:space="preserve">Costs for "skiften", internal festivites and other similar arrangements. 
30% of total internal meetings for the profit center. Increased due to costs for renting Enoksro.
Part of new template 18/19.</t>
      </text>
    </comment>
    <comment authorId="0" ref="E2105">
      <text>
        <t xml:space="preserve">21/22 Increased due to new prices and earlier years outcome.
2 T-shirts per person (32 people) á  11520 SEK  + 22 overalls 11500 + college sweaters 530*32=16960 for 32 people.
Print 32 overalls 6000 SEK
Workwear for the entertainment committee does not follow the template. See the templates for frequently used accounts for specification.</t>
      </text>
    </comment>
    <comment authorId="0" ref="E2106">
      <text>
        <t xml:space="preserve">Posters, flyers, roll-up/banner, printing material to market events such as "dödsrycksöl"
</t>
      </text>
    </comment>
    <comment authorId="0" ref="E2107">
      <text>
        <t xml:space="preserve">10 500kr - 
Price for the EC and those who will be in charge of parties to take the STAD education. Calculated on 10 members of EC to attend for the first round and 20 the second round a 350. 
Krogarna.se education krögarprov for Clubmaster á 600 SEK
1000kr 
Education or arrangements to improve the committee board's ability to work. Can be used for internal education, books, conferences, etc. 
23/24 Increased due to additional members doing the physical STAD such as KS and SU. Exception for this year.</t>
      </text>
    </comment>
    <comment authorId="0" ref="E2108">
      <text>
        <t xml:space="preserve">For meetings with SASSE party-arrangers outside PU.
22/23 corona initative removed</t>
      </text>
    </comment>
    <comment authorId="0" ref="E2109">
      <text>
        <t xml:space="preserve">Costs for material and equipment when making films for marketing of EC events
23/24 Decreased due to outcome</t>
      </text>
    </comment>
    <comment authorId="0" ref="E2110">
      <text>
        <t xml:space="preserve">Entertainment (artist, band) for appropriate events such as Anniversairy feast or the summer party
</t>
      </text>
    </comment>
    <comment authorId="0" ref="E2111">
      <text>
        <t xml:space="preserve">Long term decorations for our premises, not theme specifik, for atmosphere in entrance, Rotunda and Pub</t>
      </text>
    </comment>
    <comment authorId="0" ref="E2112">
      <text>
        <t xml:space="preserve">Meetings with Klubbis-emeriti.
500 SEK for collab predecessor-events with board</t>
      </text>
    </comment>
    <comment authorId="0" ref="E2113">
      <text>
        <t xml:space="preserve">Meetings with regards to Committee President post descriptions. </t>
      </text>
    </comment>
    <comment authorId="0" ref="E2114">
      <text>
        <t xml:space="preserve">Budget for handover for EC according to new template 18/19.
Marshall (1p) 22X200=4400
Bord member(1.75p) 8X200= 1600
Head of beverage(2,5p) 1X300=300
President (3p) 1X400=400
21/22 More members</t>
      </text>
    </comment>
    <comment authorId="0" ref="E2115">
      <text>
        <t xml:space="preserve">1 * 1000 (Pres)
1 * 800 (Spritis)
8* 600 (rest of EC Internal)
22 * 400 (Marshals)
21/22 
More members</t>
      </text>
    </comment>
    <comment authorId="0" ref="E2116">
      <text>
        <t xml:space="preserve">Smaller renovation of the committee room
23/24 Removed due to large renovation, added back next year</t>
      </text>
    </comment>
    <comment authorId="0" ref="E2117">
      <text>
        <t xml:space="preserve">Consumables: napkins, paper plates, candles etc. when arranging parties
22/23 moved to 282200</t>
      </text>
    </comment>
    <comment authorId="0" ref="E2118">
      <text>
        <t xml:space="preserve">Radio equipment to parties
22/23 Will be evaluated and bought in for the next year. Look over in def 23/24
</t>
      </text>
    </comment>
    <comment authorId="0" ref="E2119">
      <text>
        <t xml:space="preserve">For reparations of the committee room - moved to Vice Presidents budget</t>
      </text>
    </comment>
    <comment authorId="0" ref="E2120">
      <text>
        <t xml:space="preserve">Transportation costs, petrol etc when transporting equipment during banquets and events. 
22/23 Decreased to be in line with other committees</t>
      </text>
    </comment>
    <comment authorId="0" ref="E2121">
      <text>
        <t xml:space="preserve">Representation costs for contacts that are important to the activity of the Entertainment Committee, hosting for Hanken, meeting EY, tickets for EY representatives for Summer Party, Gasque and Anniversary Feast
Hanken: 350*32
EY = 450*4*2
23/24 Increased price of tickets for EY
</t>
      </text>
    </comment>
    <comment authorId="0" ref="E2122">
      <text>
        <t xml:space="preserve">To be used for when members of the EC represent at internal events to show a more fair result.
</t>
      </text>
    </comment>
    <comment authorId="0" ref="E2123">
      <text>
        <t xml:space="preserve">Removed 16/17 due to centralization to the vice president.</t>
      </text>
    </comment>
    <comment authorId="0" ref="E2124">
      <text>
        <t xml:space="preserve">According to the contract with SAMI
Calculated for 1700 students, 450 external guests
23/24 Increased due to outcome</t>
      </text>
    </comment>
    <comment authorId="0" ref="E2125">
      <text>
        <t xml:space="preserve">See the specification in the "Guard fees" tab.
22/23 Increased price for guards
</t>
      </text>
    </comment>
    <comment authorId="0" ref="E2129">
      <text>
        <t xml:space="preserve">Ticket sales: Banquet 450*245 = 99900. 
After party 150*70=10500
Prel 22/23 Merged IFS
22/23 Increased priced on parties, 450 sek per banquet due to inflations
</t>
      </text>
    </comment>
    <comment authorId="0" ref="E2130">
      <text>
        <t xml:space="preserve">Internal ticket revenue KS 10*450
</t>
      </text>
    </comment>
    <comment authorId="0" ref="E2131">
      <text>
        <t xml:space="preserve">Bar sales for after party
Corresponds to 4012
22/23 Increased prices in the bar
</t>
      </text>
    </comment>
    <comment authorId="0" ref="E2132">
      <text>
        <t xml:space="preserve">Purchase of drinks to sell in the bar.
corresponds to 3030</t>
      </text>
    </comment>
    <comment authorId="0" ref="E2133">
      <text>
        <t xml:space="preserve">Marshal costs include necessities such as food, snacks and drinks. According to new template 20/21.
(32 marshals*100 SEK)</t>
      </text>
    </comment>
    <comment authorId="0" ref="E2134">
      <text>
        <t xml:space="preserve">Food, drinks, tables, napkins, plates, etc. for the dinner. 260 guests * 350 SEK
</t>
      </text>
    </comment>
    <comment authorId="0" ref="E2135">
      <text>
        <t xml:space="preserve">Entertainment 10k
22/23 decreased since has not been used. </t>
      </text>
    </comment>
    <comment authorId="0" ref="E2136">
      <text>
        <t xml:space="preserve">Decorations according to theme.
21/22 put back to a normal year</t>
      </text>
    </comment>
    <comment authorId="0" ref="E2137">
      <text>
        <t xml:space="preserve">Cleaning for the Atrium or grand hall. Added in 20/21 as this is required by the school
22/23 increased due to outcome</t>
      </text>
    </comment>
    <comment authorId="0" ref="E2138">
      <text>
        <t xml:space="preserve">Extended alcohol permit atrium</t>
      </text>
    </comment>
    <comment authorId="0" ref="E2139">
      <text>
        <t xml:space="preserve">Transaction fees for ticket sales
21/22 put back to a normal year</t>
      </text>
    </comment>
    <comment authorId="0" ref="E2143">
      <text>
        <t xml:space="preserve">22/23 430 guest á 100 SEK</t>
      </text>
    </comment>
    <comment authorId="0" ref="E2144">
      <text>
        <t xml:space="preserve">Budgeted for 200 guests accompanying the diplomandi to the After party á 150 SEK</t>
      </text>
    </comment>
    <comment authorId="0" ref="E2145">
      <text>
        <t xml:space="preserve">Bar sales at the event. Calculated with a 90 % margin on the sales.
22/23 Increased prices in the bar
</t>
      </text>
    </comment>
    <comment authorId="0" ref="E2146">
      <text>
        <t xml:space="preserve">Costs for the drinks sold at the event. Calculated on a 90% margin.
22/23 Increased prices in the bar</t>
      </text>
    </comment>
    <comment authorId="0" ref="E2147">
      <text>
        <t xml:space="preserve">Marshal costs include necessities such as food, snacks and drinks. According to new template 20/21.
Costs for 32 people working * 100 
</t>
      </text>
    </comment>
    <comment authorId="0" ref="E2148">
      <text>
        <t xml:space="preserve">Food and drinks to be served to guests at the after-party after the ball. Removed in 18/19 since we prefer food trucks to lighten the workload for the EC.</t>
      </text>
    </comment>
    <comment authorId="0" ref="E2149">
      <text>
        <t xml:space="preserve">Entertainment (artist, band in the city hall) Removed in 16/17 since the school now takes this costs.
21/22 Cancelled by school</t>
      </text>
    </comment>
    <comment authorId="0" ref="E2150">
      <text>
        <t xml:space="preserve">Ornaments for the after party.
22/23 Added again</t>
      </text>
    </comment>
    <comment authorId="0" ref="E2151">
      <text>
        <t xml:space="preserve">Light and sound equipment. Removed in 17/18 since it hasn't been used in several years as the sound and light in pub/rotunda have been improved.</t>
      </text>
    </comment>
    <comment authorId="0" ref="E2152">
      <text>
        <t xml:space="preserve">Transportation as in busses from the City Hall (actual cost 2018)
22/23 Added again
</t>
      </text>
    </comment>
    <comment authorId="0" ref="E2153">
      <text>
        <t xml:space="preserve">Extended alcohol permit so that as many students and guests as possible can come (from the City Hall)
</t>
      </text>
    </comment>
    <comment authorId="0" ref="E2157">
      <text>
        <t xml:space="preserve">Ticket revenue for the spring event. Calculated on 400 guests paying 150 kr each for day party, 400 guests paying 70 SEK each for afterparty
23/24 Added back as Trädgården event</t>
      </text>
    </comment>
    <comment authorId="0" ref="E2158">
      <text>
        <t xml:space="preserve">Bar sales with 90% margin
23/24 Added back due to event hosted</t>
      </text>
    </comment>
    <comment authorId="0" ref="E2159">
      <text>
        <t xml:space="preserve">Costs for the drinks sold at the event. Calculated on a 90% margin.
23/24 added back</t>
      </text>
    </comment>
    <comment authorId="0" ref="E2160">
      <text>
        <t xml:space="preserve">Food for the marshalls according to new template 
23/24 Added back due to event hosted</t>
      </text>
    </comment>
    <comment authorId="0" ref="E2161">
      <text>
        <t xml:space="preserve">Costs for hiring equipment such as sound and light for the after party according to theme</t>
      </text>
    </comment>
    <comment authorId="0" ref="E2162">
      <text>
        <t xml:space="preserve">Zeroed out due to outcome</t>
      </text>
    </comment>
    <comment authorId="0" ref="E2163">
      <text>
        <t xml:space="preserve">Decoration according to theme
23/24 Added back due to event hosted</t>
      </text>
    </comment>
    <comment authorId="0" ref="E2164">
      <text>
        <t xml:space="preserve">Cost for hiring venue to host event
23/24 Removed as there was no cost related to the venue</t>
      </text>
    </comment>
    <comment authorId="0" ref="E2165">
      <text>
        <t xml:space="preserve">Cost of ticketsale
23/24 Added back due to event hosted</t>
      </text>
    </comment>
    <comment authorId="0" ref="E2181">
      <text>
        <t xml:space="preserve">700 internal guests * 300 + 250 external guests * 450
21/22 put back to a normal year</t>
      </text>
    </comment>
    <comment authorId="0" ref="E2182">
      <text>
        <t xml:space="preserve">Bar sales at the event. Calculated with a 90 % margin on the sales.
22/23 based on last year</t>
      </text>
    </comment>
    <comment authorId="0" ref="E2183">
      <text>
        <t xml:space="preserve">Revenues from food (hot dogs) that will be sold during the night
</t>
      </text>
    </comment>
    <comment authorId="0" ref="E2184">
      <text>
        <t xml:space="preserve">Removed in 19/20 due to raised ticket prices
22/23 Added due to earlier poblems with taking to long
350*7* 6 
20:30-03:30 = 7h</t>
      </text>
    </comment>
    <comment authorId="0" ref="E2185">
      <text>
        <t xml:space="preserve">Carpet to the atrium + security fence + container with emptying
23/24 Increased in line with outcome
</t>
      </text>
    </comment>
    <comment authorId="0" ref="E2186">
      <text>
        <t xml:space="preserve">Costs for the drinks sold at the event. Calculated on a 90% margin.
21/22 put back to a normal year
22/23 Increased prices in the bar
</t>
      </text>
    </comment>
    <comment authorId="0" ref="E2187">
      <text>
        <t xml:space="preserve">Costs for people working Thursday (10*40=400), Friday (32*100=3 200), Saturday (32*140=4 480 and 16*100=1 600) and Sunday (22*40=880 and 10*100=1 000) 2 photographers * 100 SEK. A total of 11 760 SEK.
23/24 Increased due to additional member</t>
      </text>
    </comment>
    <comment authorId="0" ref="E2188">
      <text>
        <t xml:space="preserve">Costs for purchasing food that will be sold during the night. Removed in 18/19 as we prefer food trucks to be used</t>
      </text>
    </comment>
    <comment authorId="0" ref="E2189">
      <text>
        <t xml:space="preserve">Costs for artist(s)
23/24 Moved amount to 4077 from 5461</t>
      </text>
    </comment>
    <comment authorId="0" ref="E2190">
      <text>
        <t xml:space="preserve">Decorations according to theme
21/22 put back to a normal year
</t>
      </text>
    </comment>
    <comment authorId="0" ref="E2191">
      <text>
        <t xml:space="preserve">Accoring to new offer from Public clean (2018)
21/22 put back to a normal year
</t>
      </text>
    </comment>
    <comment authorId="0" ref="E2192">
      <text>
        <t xml:space="preserve">One time material: napkins, papper plates, candles, cleaning material, plastic glasses. Moved central.
21/22 put back to a normal year
</t>
      </text>
    </comment>
    <comment authorId="0" ref="E2193">
      <text>
        <t xml:space="preserve">Sound and light equipment. Counters to build extra bars etc
21/22 put back to a normal year
23/24 Moved amount to 4077 from 5461</t>
      </text>
    </comment>
    <comment authorId="0" ref="E2194">
      <text>
        <t xml:space="preserve">Transaction fees for ticket sales
21/22 put back to a normal year
22/23 1150 guest. 6,25 SEK/ ticket </t>
      </text>
    </comment>
    <comment authorId="0" ref="E2195">
      <text>
        <t xml:space="preserve">Extended alcohol permit for  the Atrium
21/22 put back to a normal year
</t>
      </text>
    </comment>
    <comment authorId="0" ref="E2199">
      <text>
        <t xml:space="preserve">Budgeted after previous years result. 430 guests paying 70 kr per person each night.
</t>
      </text>
    </comment>
    <comment authorId="0" ref="E2200">
      <text>
        <t xml:space="preserve">SASSE Board 70SEK *10 *2 nights
</t>
      </text>
    </comment>
    <comment authorId="0" ref="E2201">
      <text>
        <t xml:space="preserve">Bar sales at the event. Calculated with a 90 % margin on the sales.
22/23 Raised due to outcome</t>
      </text>
    </comment>
    <comment authorId="0" ref="E2202">
      <text>
        <t xml:space="preserve">Costs for the drinks sold at the event. Calculated on a 90% margin.
22/23 Increased prices in the bar</t>
      </text>
    </comment>
    <comment authorId="0" ref="E2203">
      <text>
        <t xml:space="preserve">Costs for marshals during introduction pubs. 16/15 marshals working.(16+16)*100 = 3200
</t>
      </text>
    </comment>
    <comment authorId="0" ref="E2204">
      <text>
        <t xml:space="preserve">Decorations for the introduction, according to theme</t>
      </text>
    </comment>
    <comment authorId="0" ref="E2205">
      <text>
        <t xml:space="preserve">Transaction fees for ticket sales
20/21: updated due to new ticket system (nortic)</t>
      </text>
    </comment>
    <comment authorId="0" ref="E2206">
      <text>
        <t xml:space="preserve">Extended alcohol permit for the Uppsamlingsheat so that as many students as possible can come. Haven't been used since 14/15, removed in 18/19</t>
      </text>
    </comment>
    <comment authorId="0" ref="E2210">
      <text>
        <t xml:space="preserve">Budgeted after previous years result. 450 guests paying 70 kr each.
</t>
      </text>
    </comment>
    <comment authorId="0" ref="E2211">
      <text>
        <t xml:space="preserve">Bar sales at the event. Calculated with a 90 % margin on the sales.
22/23 Increased prices in the bar
</t>
      </text>
    </comment>
    <comment authorId="0" ref="E2212">
      <text>
        <t xml:space="preserve">Costs for the drinks sold at the event. Calculated on a 90% margin.
22/23 Increased prices in the bar
</t>
      </text>
    </comment>
    <comment authorId="0" ref="E2213">
      <text>
        <t xml:space="preserve">Costs for marshals during introduction pubs. 32 marshals working. 100 * 32 = 3200
</t>
      </text>
    </comment>
    <comment authorId="0" ref="E2214">
      <text>
        <t xml:space="preserve">Decorations for the Uppsamlingsheat, according to theme
</t>
      </text>
    </comment>
    <comment authorId="0" ref="E2215">
      <text>
        <t xml:space="preserve">Transaction fees for nortic. 450 guests
</t>
      </text>
    </comment>
    <comment authorId="0" ref="E2219">
      <text>
        <t xml:space="preserve">Ticket revenue from guests to the introduction master pub.  However "extrasläpp" is possible where non master students pay 70 SEK to get in.</t>
      </text>
    </comment>
    <comment authorId="0" ref="E2220">
      <text>
        <t xml:space="preserve">Ticket revenue from guests to the introduction master pub.  However "extrasläpp" is possible where non master students pay 70 SEK to get in.</t>
      </text>
    </comment>
    <comment authorId="0" ref="E2221">
      <text>
        <t xml:space="preserve">Bar sales at the event. Calculated with a 90 % margin on the sales.
21/22 put back to a normal year</t>
      </text>
    </comment>
    <comment authorId="0" ref="E2222">
      <text>
        <t xml:space="preserve">Costs for the drinks sold at the event. Calculated on a 90% margin.
21/22 put back to a normal year
22/23 Increased prices in the bar</t>
      </text>
    </comment>
    <comment authorId="0" ref="E2223">
      <text>
        <t xml:space="preserve">Marshal costs include necessities such as food, snacks and drinks. According to new template 20/21.
Costs for marshals during introduction pubs. 31 people working x 100 kr = 3 100 kr
21/22 put back to a normal year</t>
      </text>
    </comment>
    <comment authorId="0" ref="E2224">
      <text>
        <t xml:space="preserve">Decore in accordance to theme 
23/24 Added</t>
      </text>
    </comment>
    <comment authorId="0" ref="E2228">
      <text>
        <t xml:space="preserve">Ticket revenue from guests to the introduction master pub.  However "extrasläpp" is possible where non master students pay 70 SEK to get in.
23/24 Added due to not being included in the budget</t>
      </text>
    </comment>
    <comment authorId="0" ref="E2229">
      <text>
        <t xml:space="preserve">Bar sales at the event. Calculated with a 90 % margin on the sales.
23/24 Added due to not being included in the budget</t>
      </text>
    </comment>
    <comment authorId="0" ref="E2230">
      <text>
        <t xml:space="preserve">Costs for the drinks sold at the event. Calculated on a 90% margin.
22/23 Increased prices in the bar
23/24 Added due to not being included in the budget</t>
      </text>
    </comment>
    <comment authorId="0" ref="E2231">
      <text>
        <t xml:space="preserve">Marshal costs include necessities such as food, snacks and drinks. According to new template 20/21.
Costs for marshals during introduction pubs. 31 people working x 40 kr = 1 240 kr
23/24 Added due to not being included in the budget</t>
      </text>
    </comment>
    <comment authorId="0" ref="E2232">
      <text>
        <t xml:space="preserve">Decorations for the afterparty of the Welcmoming banquet for the Masters, according to theme
23/24 Added due to not being included in the budget
</t>
      </text>
    </comment>
    <comment authorId="0" ref="E2236">
      <text>
        <t xml:space="preserve">REMOVED 19/20 due to school raged.
Event where the bachelors students travels with trucks around Stockholm and perform group dynamic activites. Budgeted for 200 paying  students attending (22/23). 350 SEK/Students. 15 "parents" ride for free.
22/23 keep the new concept in collaboration with Introduction Committee from 2022. Based on outcome from 2022 and we have also added the zilliz from 192235</t>
      </text>
    </comment>
    <comment authorId="0" ref="E2237">
      <text>
        <t xml:space="preserve">Bar sales at the event. Calculated with a 90 % margin on the sales.
22/23 Increased prices in the bar and based on outcome from 2022 and we have also added the zilliz from 192235</t>
      </text>
    </comment>
    <comment authorId="0" ref="E2238">
      <text>
        <t xml:space="preserve">REMOVED 19/22 due to school raged.
For consumables and other things neccessary to execute the Rebusjakt activities
22/23 keep the new concept in collaboration with Introduction Committee from 2022. Based on outcome from 2022 and we have also added the zilliz from 192235</t>
      </text>
    </comment>
    <comment authorId="0" ref="E2239">
      <text>
        <t xml:space="preserve">Bar sales at the event. Calculated with a 90 % margin on the sales.
22/23 Increased prices in the bar. Keept the new concept in collaboration with Introduction Committee from 2022. Based on outcome from 2022 and we have also added the zilliz from 192235</t>
      </text>
    </comment>
    <comment authorId="0" ref="E2240">
      <text>
        <t xml:space="preserve">REMOVED 21/22 due to school raged.
Marshal costs include necessities such as food, snacks and drinks. According to new template 20/21.
Costs for 32 people working * 100 SEK, this due to longer working hours
22/23 keep the new concept in collaboration with Introduction Committee from 2022. Based on outcome from 2022 and we have also added the zilliz from 192235</t>
      </text>
    </comment>
    <comment authorId="0" ref="E2241">
      <text>
        <t xml:space="preserve">REMOVED 21/22 due to school raged.
Serving of pizza slices, budgeted after last years outcome with 145 guests with many pizzas still remaining.
22/23 keep the new concept in collaboration with Introduction Committee from 2022. Based on outcome from 2022 and we have also added the zilliz from 192235</t>
      </text>
    </comment>
    <comment authorId="0" ref="E2242">
      <text>
        <t xml:space="preserve">REMOVED 19/20 due to school raged.
Trucks for transporting 200 students during Rebusjakten. Adjusted after changed number of participants. Current budget covers four trucks
22/23 keep the new concept in collaboration with Introduction Committee from 2022. Based on outcome from 2022 and we have also added the zilliz from 192235
23/24 Increase in line with outcome</t>
      </text>
    </comment>
    <comment authorId="0" ref="E2243">
      <text>
        <t xml:space="preserve">REMOVED 21/22 due to school raged.
Transaction fees for ticket sales
22/23 keep the new concept in collaboration with Introduction Committee from 2022. Based on outcome from 2022 and we have also added the zilliz from 192235</t>
      </text>
    </comment>
    <comment authorId="0" ref="E2247">
      <text>
        <t xml:space="preserve">Banquet during the second week of the Introduction. The theme is "how to behave on a banquet" in order to create a nice banquet culture "Dine like a Sire, party like a baws!"
239 guests paying 300 kr each
21/22 put back to a normal year
22/23 Will use Great Hall
239 guest paying 250 SEK
22/23 Increase ticket price in level with 4076</t>
      </text>
    </comment>
    <comment authorId="0" ref="E2248">
      <text>
        <t xml:space="preserve">Internal representation for the SC board. 24*250. Connected to 6071 18xx61, SASSE BOARD 10 people + Clubmaster 
22/23 Increase ticket price in level with 4076</t>
      </text>
    </comment>
    <comment authorId="0" ref="E2249">
      <text>
        <t xml:space="preserve">Added prel 22/23 due to outcome earlier years
22/23 Increased prices in the bar</t>
      </text>
    </comment>
    <comment authorId="0" ref="E2250">
      <text>
        <t xml:space="preserve">Added prel 22/23 due to outcome earlier years
22/23 Increased prices in the bar</t>
      </text>
    </comment>
    <comment authorId="0" ref="E2251">
      <text>
        <t xml:space="preserve">Marshal costs include necessities such as food, snacks and drinks. 
Costs for marshals during introduction pubs. 31 people working * 100 kr = 3100 SEK
Clubmaster attends the banquet
</t>
      </text>
    </comment>
    <comment authorId="0" ref="E2252">
      <text>
        <t xml:space="preserve">Catering for 274 guests * 400 SEK 
21/22 put back to a normal year
22/23 increased price</t>
      </text>
    </comment>
    <comment authorId="0" ref="E2253">
      <text>
        <t xml:space="preserve">Decorations, mostly flowers and for dinner setting
21/22 put back to a normal year</t>
      </text>
    </comment>
    <comment authorId="0" ref="E2254">
      <text>
        <t xml:space="preserve">Cleaning for the Grand Hall. Added in 20/21 as this is required by the school
21/22 put back to a normal year</t>
      </text>
    </comment>
    <comment authorId="0" ref="E2255">
      <text>
        <t xml:space="preserve">Clubmaster. connected to 3014 19xx09</t>
      </text>
    </comment>
    <comment authorId="0" ref="E2256">
      <text>
        <t xml:space="preserve">Transaction fees for ticket sales
21/22 put back to a normal year</t>
      </text>
    </comment>
    <comment authorId="0" ref="E2260">
      <text>
        <t xml:space="preserve">New project intended to teach newly admitted students how to attend a traditional zillis 90 people à 100 SEK
22/23 moved to 192208</t>
      </text>
    </comment>
    <comment authorId="0" ref="E2261">
      <text>
        <t xml:space="preserve">SASSE Board 10 á 100 sek
22/23 moved to 192208</t>
      </text>
    </comment>
    <comment authorId="0" ref="E2262">
      <text>
        <t xml:space="preserve">Bar sales
22/23 moved to 192208</t>
      </text>
    </comment>
    <comment authorId="0" ref="E2263">
      <text>
        <t xml:space="preserve">Purchase of alcohol
22/23 moved to 192208</t>
      </text>
    </comment>
    <comment authorId="0" ref="E2264">
      <text>
        <t xml:space="preserve">Marshal costs 16 half days
21/22 put back to a normal year
22/23 moved to 192208</t>
      </text>
    </comment>
    <comment authorId="0" ref="E2265">
      <text>
        <t xml:space="preserve">Food in accordance with Zilliz theme
50*50 sek
21/22 put back to a normal year
22/23 moved to 192208</t>
      </text>
    </comment>
    <comment authorId="0" ref="E2266">
      <text>
        <t xml:space="preserve">Decorations and costumes for everyone attending
21/22 put back to a normal year
22/23 moved to 192208</t>
      </text>
    </comment>
    <comment authorId="0" ref="E2267">
      <text>
        <t xml:space="preserve">Transaction fees for ticket sales, updated to nortic
21/22 put back to a normal year
22/23 moved to 192208</t>
      </text>
    </comment>
    <comment authorId="0" ref="E2271">
      <text>
        <t xml:space="preserve">Moved to 19xx01</t>
      </text>
    </comment>
    <comment authorId="0" ref="E2272">
      <text>
        <t xml:space="preserve">Moved to 19xx01</t>
      </text>
    </comment>
    <comment authorId="0" ref="E2273">
      <text>
        <t xml:space="preserve">Moved to 19xx01</t>
      </text>
    </comment>
    <comment authorId="0" ref="E2274">
      <text>
        <t xml:space="preserve">Moved to 19xx01</t>
      </text>
    </comment>
    <comment authorId="0" ref="E2275">
      <text>
        <t xml:space="preserve">Removed</t>
      </text>
    </comment>
    <comment authorId="0" ref="E2279">
      <text>
        <t xml:space="preserve">Removed. A decision made by the Board 13/14 to allocate 15000 SEK from the account Styrelsens Initiativ to the Gasque 2013.</t>
      </text>
    </comment>
    <comment authorId="0" ref="E2280">
      <text>
        <t xml:space="preserve">Budgeted for 275 guests paying 450 kr for alcohol, and 5 people 430 kr for non-alcoholic. Lowered due to outcome in terms of "småttingar" attending. 
22/23 changed, added 15 external guest from other schools and faculty paying 750, CN is exception</t>
      </text>
    </comment>
    <comment authorId="0" ref="E2281">
      <text>
        <t xml:space="preserve">22 attending from the entertainment committee + 25 casa nostra
22/23 Changed. EC board will work during the evening.
</t>
      </text>
    </comment>
    <comment authorId="0" ref="E2282">
      <text>
        <t xml:space="preserve">Bar sales at the event. Calculated with a 90 % margin on the sales.
21/22 put back to a normal year
22/23 Increased prices in the bar</t>
      </text>
    </comment>
    <comment authorId="0" ref="E2283">
      <text>
        <t xml:space="preserve">Costs for the drinks sold at the event. Calculated on a 90% margin.
21/22 put back to a normal year
22/23 Increased prices in the bar</t>
      </text>
    </comment>
    <comment authorId="0" ref="E2284">
      <text>
        <t xml:space="preserve">32 people working during the day and the after party. (140*32)
21/22 put back to a normal year</t>
      </text>
    </comment>
    <comment authorId="0" ref="E2285">
      <text>
        <t xml:space="preserve">Food, drinks, tables, napkins, plates, etc. 325 guests * 370 SEK
21/22 put back to a normal year
22/23 increased due to inflation</t>
      </text>
    </comment>
    <comment authorId="0" ref="E2286">
      <text>
        <t xml:space="preserve">Decorations accordning to theme
21/22 put back to a normal year</t>
      </text>
    </comment>
    <comment authorId="0" ref="E2287">
      <text>
        <t xml:space="preserve">Professional cleaning of the Atrium floor after the banquet updated 2018 by offer from Public Clean
21/22 put back to a normal year</t>
      </text>
    </comment>
    <comment authorId="0" ref="E2288">
      <text>
        <t xml:space="preserve">After agreement with the school, a layer of paper is needed to protect the floor.
21/22 put back to a normal year</t>
      </text>
    </comment>
    <comment authorId="0" ref="E2289">
      <text>
        <t xml:space="preserve">Equipment for sound and lightning
21/22 put back to a normal year</t>
      </text>
    </comment>
    <comment authorId="0" ref="E2290">
      <text>
        <t xml:space="preserve">Costs for 32 committee members tickets, 32*400
Casa Nostra: 25*400
22/23 Changed. EC board will work during the evening.
</t>
      </text>
    </comment>
    <comment authorId="0" ref="E2291">
      <text>
        <t xml:space="preserve">Extended alcohol permit = 600
21/22 put back to a normal year</t>
      </text>
    </comment>
    <comment authorId="0" ref="E2292">
      <text>
        <t xml:space="preserve">Transaction fees for ticket sales
21/22 put back to a normal year</t>
      </text>
    </comment>
    <comment authorId="0" ref="E2296">
      <text>
        <t xml:space="preserve">Bar sales at the event. Calculated with a 90 % margin on the sales.
22/23 Increased prices in the bar
</t>
      </text>
    </comment>
    <comment authorId="0" ref="E2297">
      <text>
        <t xml:space="preserve">20 Guests * 100 sek
21/22 25 people Hanken goes for free. 
22/23 decreased number of people
</t>
      </text>
    </comment>
    <comment authorId="0" ref="E2298">
      <text>
        <t xml:space="preserve">SASSE Board 10 people</t>
      </text>
    </comment>
    <comment authorId="0" ref="E2299">
      <text>
        <t xml:space="preserve">Costs for the drinks sold at the event. Calculated on a 90% margin.
22/23 Increased prices in the bar
</t>
      </text>
    </comment>
    <comment authorId="0" ref="E2300">
      <text>
        <t xml:space="preserve">15 people working * 40 SEK
</t>
      </text>
    </comment>
    <comment authorId="0" ref="E2301">
      <text>
        <t xml:space="preserve">Food expences (eggs, potatoes, "sill", etc), 75*20 SEK = 3750
22/23 decreased number of people
</t>
      </text>
    </comment>
    <comment authorId="0" ref="E2306">
      <text>
        <t xml:space="preserve">Budgeted for 398 afterparty tickets à 100 kr
21/22 put back to a normal year
22723 increased to 100 since busses in included in the price</t>
      </text>
    </comment>
    <comment authorId="0" ref="E2307">
      <text>
        <t xml:space="preserve">Budgeted for 50 full paying (1350 SEK per guest)</t>
      </text>
    </comment>
    <comment authorId="0" ref="E2308">
      <text>
        <t xml:space="preserve">Bar sales at the event. Calculated with a 90 % margin on the sales.
21/22 put back to a normal year
22/23 Increased prices in the bar</t>
      </text>
    </comment>
    <comment authorId="0" ref="E2309">
      <text>
        <t xml:space="preserve">Costs for the drinks sold at the event. Calculated on a 90% margin.
21/22 put back to a normal year
22/23 Increased prices in the bar</t>
      </text>
    </comment>
    <comment authorId="0" ref="E2310">
      <text>
        <t xml:space="preserve">Marshal costs include necessities such as food, snacks and drinks. According to new template 20/21.
Costs for 31 people working * 100 SEK 
21/22 put back to a normal year</t>
      </text>
    </comment>
    <comment authorId="0" ref="E2311">
      <text>
        <t xml:space="preserve">Food and drinks for dinner at the City Hall
20/21: Removed as school takes care of this</t>
      </text>
    </comment>
    <comment authorId="0" ref="E2312">
      <text>
        <t xml:space="preserve">Entertainment (artist, band). Removed 16/17</t>
      </text>
    </comment>
    <comment authorId="0" ref="E2313">
      <text>
        <t xml:space="preserve">20/21 Ornament is needed during the afterparty. In line from outcome 19/20
21/22 put back to a normal year</t>
      </text>
    </comment>
    <comment authorId="0" ref="E2314">
      <text>
        <t xml:space="preserve">Light and sound equipment.</t>
      </text>
    </comment>
    <comment authorId="0" ref="E2315">
      <text>
        <t xml:space="preserve">Transportation in busses from the City Hall, updated cost 2021
</t>
      </text>
    </comment>
    <comment authorId="0" ref="E2316">
      <text>
        <t xml:space="preserve">Extended alcohol permit so that as many students and guests as possible can come (from the City Hall)
21/22 put back to a normal year</t>
      </text>
    </comment>
    <comment authorId="0" ref="E2317">
      <text>
        <t xml:space="preserve">22/23 Added transaction fee account</t>
      </text>
    </comment>
    <comment authorId="0" ref="E2321">
      <text>
        <t xml:space="preserve">70 SEK for internal guests (200 guests), 90 SEK for external (100 guests)
21/22 put back to a normal year</t>
      </text>
    </comment>
    <comment authorId="0" ref="E2322">
      <text>
        <t xml:space="preserve">Bar sales at the event. Calculated with a 90 % margin on the sales.
22/23 Increased prices in the bar</t>
      </text>
    </comment>
    <comment authorId="0" ref="E2323">
      <text>
        <t xml:space="preserve">Costs for the drinks sold at the event. Calculated on a 90% margin.
22/23 Increased prices in the bar
</t>
      </text>
    </comment>
    <comment authorId="0" ref="E2324">
      <text>
        <t xml:space="preserve">Marshal costs include necessities such as food, snacks and drinks. According to new template 20/21.
Costs for 32 PU-Praos working * 100 SEK.
</t>
      </text>
    </comment>
    <comment authorId="0" ref="E2325">
      <text>
        <t xml:space="preserve">Decorations to create the Halloweenmood</t>
      </text>
    </comment>
    <comment authorId="0" ref="E2327">
      <text>
        <t xml:space="preserve">Transaction fees for nortic. 300 guests
</t>
      </text>
    </comment>
    <comment authorId="0" ref="E2331">
      <text>
        <t xml:space="preserve">70 SEK for internal guests (200 guests), 90 SEK for external (200 guests)
</t>
      </text>
    </comment>
    <comment authorId="0" ref="E2332">
      <text>
        <t xml:space="preserve">Bar sales at the event. Calculated with a 90 % margin on the sales.
22/23 Increased prices in the bar</t>
      </text>
    </comment>
    <comment authorId="0" ref="E2333">
      <text>
        <t xml:space="preserve">Costs for the drinks sold at the event. Calculated on a 90% margin.
22/23 Increased prices in the bar</t>
      </text>
    </comment>
    <comment authorId="0" ref="E2334">
      <text>
        <t xml:space="preserve">Marshal costs include necessities such as food, snacks and drinks. According to new template 20/21.
Costs for 32 people working </t>
      </text>
    </comment>
    <comment authorId="0" ref="E2336">
      <text>
        <t xml:space="preserve">Decorations to make the Pub and Rotunda look as an after ski pub</t>
      </text>
    </comment>
    <comment authorId="0" ref="E2337">
      <text>
        <t xml:space="preserve">Estimated at 400 tickets sold. Added to make things easier for the new klubbis for their first party</t>
      </text>
    </comment>
    <comment authorId="0" ref="E2341">
      <text>
        <t xml:space="preserve">Project removed in 19/20 due to lack of interest
</t>
      </text>
    </comment>
    <comment authorId="0" ref="E2342">
      <text>
        <t xml:space="preserve">Project removed in 19/20 due to lack of interest</t>
      </text>
    </comment>
    <comment authorId="0" ref="E2343">
      <text>
        <t xml:space="preserve">Project removed in 19/20 due to lack of interest</t>
      </text>
    </comment>
    <comment authorId="0" ref="E2344">
      <text>
        <t xml:space="preserve">Project removed in 19/20 due to lack of interest</t>
      </text>
    </comment>
    <comment authorId="0" ref="E2345">
      <text>
        <t xml:space="preserve">Project removed in 19/20 due to lack of interest</t>
      </text>
    </comment>
    <comment authorId="0" ref="E2346">
      <text>
        <t xml:space="preserve">Project removed in 19/20 due to lack of interest</t>
      </text>
    </comment>
    <comment authorId="0" ref="E2347">
      <text>
        <t xml:space="preserve">Project removed in 19/20 due to lack of interest</t>
      </text>
    </comment>
    <comment authorId="0" ref="E2351">
      <text>
        <t xml:space="preserve">Bar sales at the event. Calculated with a 90 % margin on the sales.
22/23 Increased prices in the bar</t>
      </text>
    </comment>
    <comment authorId="0" ref="E2352">
      <text>
        <t xml:space="preserve">Costs for the drinks sold at the event. Calculated on a 90% margin.
22/23 Increased prices in the bar</t>
      </text>
    </comment>
    <comment authorId="0" ref="E2353">
      <text>
        <t xml:space="preserve">Marshal costs include necessities such as food, snacks and drinks. According to new template 20/21.
Costs for 4 people working * 40 SEK</t>
      </text>
    </comment>
    <comment authorId="0" ref="E2357">
      <text>
        <t xml:space="preserve">Zeroed as we need to find a new effective way to finance it. (18/19)</t>
      </text>
    </comment>
    <comment authorId="0" ref="E2358">
      <text>
        <t xml:space="preserve">120 SASSE members *150 SEK
prel 22/23 changed due to outcome
22/23 will be evaluated in def 23/24</t>
      </text>
    </comment>
    <comment authorId="0" ref="E2359">
      <text>
        <t xml:space="preserve">prel 22/23 changed due to outcome
22/23 Increased prices in the bar</t>
      </text>
    </comment>
    <comment authorId="0" ref="E2360">
      <text>
        <t xml:space="preserve">prel 22/23 changed due to outcome
22/23 Increased prices in the bar</t>
      </text>
    </comment>
    <comment authorId="0" ref="E2361">
      <text>
        <t xml:space="preserve">Marshal costs include necessities such as food, snacks and drinks. According to new template 20/21.
Costs for 31 PU-Praos working * 40 SEK. 
20/21: updated as fewer board members</t>
      </text>
    </comment>
    <comment authorId="0" ref="E2362">
      <text>
        <t xml:space="preserve">Zeroed as we need to find a new effective way to finance it. (18/19)</t>
      </text>
    </comment>
    <comment authorId="0" ref="E2363">
      <text>
        <t xml:space="preserve">Zeroed as we need to find a new effective way to finance it. (18/19)</t>
      </text>
    </comment>
    <comment authorId="0" ref="E2364">
      <text>
        <t xml:space="preserve">Zeroed as we need to find a new effective way to finance it. (18/19)</t>
      </text>
    </comment>
    <comment authorId="0" ref="E2365">
      <text>
        <t xml:space="preserve">20/21: live entertainment was not used this year</t>
      </text>
    </comment>
    <comment authorId="0" ref="E2366">
      <text>
        <t xml:space="preserve">An estimate, </t>
      </text>
    </comment>
    <comment authorId="0" ref="E2367">
      <text>
        <t xml:space="preserve">To be used for entrance fees to after party or venue hire
22/23 Decreased due to outcome</t>
      </text>
    </comment>
    <comment authorId="0" ref="E2368">
      <text>
        <t xml:space="preserve">Zeroed as we need to find a new effective way to finance it. (18/19)</t>
      </text>
    </comment>
    <comment authorId="0" ref="E2369">
      <text>
        <t xml:space="preserve">Zeroed as we need to find a new effective way to finance it. (18/19)</t>
      </text>
    </comment>
    <comment authorId="0" ref="E2370">
      <text>
        <t xml:space="preserve">Zeroed as we need to find a new effective way to finance it. (18/19)</t>
      </text>
    </comment>
    <comment authorId="0" ref="E2371">
      <text>
        <t xml:space="preserve">Zeroed as we need to find a new effective way to finance it. (18/19)</t>
      </text>
    </comment>
    <comment authorId="0" ref="E2372">
      <text>
        <t xml:space="preserve">Transaction fees for ticket sales
20/21: updated as we have a new ticket system (nortic)</t>
      </text>
    </comment>
    <comment authorId="0" ref="E2376">
      <text>
        <t xml:space="preserve">Zeroed as we need to find a new effective way to finance it. (17/18)</t>
      </text>
    </comment>
    <comment authorId="0" ref="E2377">
      <text>
        <t xml:space="preserve">Zeroed as we need to find a new effective way to finance it. (17/18)</t>
      </text>
    </comment>
    <comment authorId="0" ref="E2378">
      <text>
        <t xml:space="preserve">Transaction fees for ticket sales</t>
      </text>
    </comment>
    <comment authorId="0" ref="E2382">
      <text>
        <t xml:space="preserve">Budgeted for 430 guests x 70 SEK
22/23 increased due to outcome</t>
      </text>
    </comment>
    <comment authorId="0" ref="E2383">
      <text>
        <t xml:space="preserve">Bar sales at the event. Calculated with a 90 % margin on the sales.
22/23 Increased prices in the bar</t>
      </text>
    </comment>
    <comment authorId="0" ref="E2384">
      <text>
        <t xml:space="preserve">Costs for the drinks sold at the event. Calculated on a 90% margin.
22/23 Increased prices in the bar</t>
      </text>
    </comment>
    <comment authorId="0" ref="E2385">
      <text>
        <t xml:space="preserve">Marshal costs include necessities such as food, snacks and drinks. According to new template 20/21.
Costs for 32 people working * 100 SEK</t>
      </text>
    </comment>
    <comment authorId="0" ref="E2386">
      <text>
        <t xml:space="preserve">Decorations according to theme</t>
      </text>
    </comment>
    <comment authorId="0" ref="E2387">
      <text>
        <t xml:space="preserve">Nortic transaction fees to ensure a smooth entry. 350 tickets à 6,25 kr</t>
      </text>
    </comment>
    <comment authorId="0" ref="E2390">
      <text>
        <t xml:space="preserve">Moved to Social Committee (16/17)
</t>
      </text>
    </comment>
    <comment authorId="0" ref="E2398">
      <text>
        <t xml:space="preserve">Moved to Social Committee (16/17)</t>
      </text>
    </comment>
    <comment authorId="0" ref="E2407">
      <text>
        <t xml:space="preserve">Merged with the Re-Party. 20/21
Free for SASSE Members</t>
      </text>
    </comment>
    <comment authorId="0" ref="E2408">
      <text>
        <t xml:space="preserve">Merged with the Re-Party. 20/21
Bar sales at the event. Calculated with a 90 % margin on the sales.
Zeroed in 19/20 due to new concept (held at lunch)</t>
      </text>
    </comment>
    <comment authorId="0" ref="E2409">
      <text>
        <t xml:space="preserve">Merged with the Re-Party. 20/21
For property and all other things that are needed to execute an excellent Roast</t>
      </text>
    </comment>
    <comment authorId="0" ref="E2410">
      <text>
        <t xml:space="preserve">Merged with the Re-Party. 20/21
Costs for the drinks sold at the event. Calculated on a 90% margin.</t>
      </text>
    </comment>
    <comment authorId="0" ref="E2411">
      <text>
        <t xml:space="preserve">Merged with the Re-Party. 20/21
Costs for 16 people woking * 40 SEK plus 2 photographers * 40 SEK</t>
      </text>
    </comment>
    <comment authorId="0" ref="E2412">
      <text>
        <t xml:space="preserve">Merged with the Re-Party. 20/21
550/4=137.5 * 8 = 1100 removed 16/17</t>
      </text>
    </comment>
    <comment authorId="0" ref="E2416">
      <text>
        <t xml:space="preserve">Budgeted for 50 guests (120 SEK per guest) + 100 guest (70 SEK per guest)
</t>
      </text>
    </comment>
    <comment authorId="0" ref="E2417">
      <text>
        <t xml:space="preserve">Bar sales at the event. Calculated with a 90 % margin on the sales.
22/23 Increased prices in the bar</t>
      </text>
    </comment>
    <comment authorId="0" ref="E2418">
      <text>
        <t xml:space="preserve">Costs for the drinks sold at the event. Calculated on a 90% margin.
22/23 Increased prices in the bar</t>
      </text>
    </comment>
    <comment authorId="0" ref="E2419">
      <text>
        <t xml:space="preserve">Marshal costs include necessities such as food, snacks and drinks. According to new template 20/21.
16 people working * 40 SEK</t>
      </text>
    </comment>
    <comment authorId="0" ref="E2420">
      <text>
        <t xml:space="preserve">Food, drinks, tables, napkins, plates, etc</t>
      </text>
    </comment>
    <comment authorId="0" ref="E2421">
      <text>
        <t xml:space="preserve">Decorations accordning to theme(christmas decorations, summer decorations, Zilliz decorations etc)
Raised due to merge with Roast
20/21 Added from 192000 for "dödsrycksöl"</t>
      </text>
    </comment>
    <comment authorId="0" ref="E2425">
      <text>
        <t xml:space="preserve">Budgeted for 243 guests paying 450 per ticket, 12 representatives from nordic business schools paying 700 SEK
22/23 increased prices</t>
      </text>
    </comment>
    <comment authorId="0" ref="E2426">
      <text>
        <t xml:space="preserve">Internal ticket revenue for the new and old EC board, connected to 6071
Costs for 20 guests eating and drinking, 380*20 = 7220
22/23 added SASSE Board 11*2
</t>
      </text>
    </comment>
    <comment authorId="0" ref="E2427">
      <text>
        <t xml:space="preserve">Marshal costs include necessities such as food, snacks and drinks. According to new template 20/21.
32 people working * 100 SEK </t>
      </text>
    </comment>
    <comment authorId="0" ref="E2428">
      <text>
        <t xml:space="preserve">Budgeted for 280 dinner guests and food costs of 370 SEK per guest 
22/23 increased food prices</t>
      </text>
    </comment>
    <comment authorId="0" ref="E2429">
      <text>
        <t xml:space="preserve">Moved from Entertainment committee central 16/17</t>
      </text>
    </comment>
    <comment authorId="0" ref="E2430">
      <text>
        <t xml:space="preserve">Decorations accordning to theme
</t>
      </text>
    </comment>
    <comment authorId="0" ref="E2431">
      <text>
        <t xml:space="preserve">Professional cleaning of the Grand Hall after the banquet. Updated 2018 after offer from Public Clean
</t>
      </text>
    </comment>
    <comment authorId="0" ref="E2432">
      <text>
        <t xml:space="preserve">Costs for 20 guests eating and drinking, 450*20 </t>
      </text>
    </comment>
    <comment authorId="0" ref="E2433">
      <text>
        <t xml:space="preserve">Transaction fees for ticket sales, updated to nortic
</t>
      </text>
    </comment>
    <comment authorId="0" ref="E2437">
      <text>
        <t xml:space="preserve">Budgeted for 50 guests. (70 SEK per guest)
22/23 removed 1 corona event
</t>
      </text>
    </comment>
    <comment authorId="0" ref="E2438">
      <text>
        <t xml:space="preserve">Bar sales at the event. Calculated with a 90 % margin on the sales.
Decresed due to outcome
22/23 removed 1 corona event
22/23 Increased prices in the bar
</t>
      </text>
    </comment>
    <comment authorId="0" ref="E2439">
      <text>
        <t xml:space="preserve">Costs for the drinks sold at the event. Calculated on a 90% margin.
22/23 removed 1 corona event
22/23 Increased prices in the bar
</t>
      </text>
    </comment>
    <comment authorId="0" ref="E2440">
      <text>
        <t xml:space="preserve">Marshal costs include necessities such as food, snacks and drinks. According to new template 20/21.
Costs for 32 people working * 40 SEK
22/23 removed 1 corona event
</t>
      </text>
    </comment>
    <comment authorId="0" ref="E2441">
      <text>
        <t xml:space="preserve">Moved to Anniversary Feast (Årsfest sittning)
22/23 removed 1 corona event
</t>
      </text>
    </comment>
    <comment authorId="0" ref="E2445">
      <text>
        <t xml:space="preserve">22/23 Back to normal year 
Zilliz arranged after the Anniversary Feast. Budgeted for 30 guests paying 100 SEK each
22/23 increased to be in line with previous zilliz</t>
      </text>
    </comment>
    <comment authorId="0" ref="E2446">
      <text>
        <t xml:space="preserve">Removed due to no demand 20/21
Correlated with 4012. 90% margin. 
22/23 Increased prices in the bar</t>
      </text>
    </comment>
    <comment authorId="0" ref="E2447">
      <text>
        <t xml:space="preserve">Removed due to no demand 20/21
Correlated with 3030. 90% margin. </t>
      </text>
    </comment>
    <comment authorId="0" ref="E2448">
      <text>
        <t xml:space="preserve">Removed due to no demand 20/21
15 people working * 40 SEK
20/21: lowered as fewer EC board members</t>
      </text>
    </comment>
    <comment authorId="0" ref="E2449">
      <text>
        <t xml:space="preserve">Removed due to no demand 20/21
Food expences (eggs, potatoes, "sill", etc)
20/21: lowered to be in line with gasque zilliz</t>
      </text>
    </comment>
    <comment authorId="0" ref="E2453">
      <text>
        <t xml:space="preserve">Revenues from the arranged external parties</t>
      </text>
    </comment>
    <comment authorId="0" ref="E2454">
      <text>
        <t xml:space="preserve">Revenues from bar sales during the G&amp;B events</t>
      </text>
    </comment>
    <comment authorId="0" ref="E2455">
      <text>
        <t xml:space="preserve">Revenues from the food and drinks that are served</t>
      </text>
    </comment>
    <comment authorId="0" ref="E2456">
      <text>
        <t xml:space="preserve">Purchase for drinks from Spritmästeriet that are sold at the bar.
22/23 Increased prices in the bar</t>
      </text>
    </comment>
    <comment authorId="0" ref="E2457">
      <text>
        <t xml:space="preserve">Costs associated with arranging these events, e.g. purchase of material according to themes etc.</t>
      </text>
    </comment>
    <comment authorId="0" ref="E2458">
      <text>
        <t xml:space="preserve">Costs for the food and drinks that are served. </t>
      </text>
    </comment>
    <comment authorId="0" ref="E2459">
      <text>
        <t xml:space="preserve">Costs for extra equipment when needed.</t>
      </text>
    </comment>
    <comment authorId="0" ref="E2460">
      <text>
        <t xml:space="preserve">Guard salaries</t>
      </text>
    </comment>
    <comment authorId="0" ref="E2461">
      <text>
        <t xml:space="preserve">No taxes should be paid according to the external auditors judgement, since the events are arranged for the school and alumni there is a clear connection to the purpose of our organisation.</t>
      </text>
    </comment>
    <comment authorId="0" ref="E2465">
      <text>
        <t xml:space="preserve">Money collected from PU members if more than the result from project 191828 is spent</t>
      </text>
    </comment>
    <comment authorId="0" ref="E2466">
      <text>
        <t xml:space="preserve">New account for decorations, materials etc.</t>
      </text>
    </comment>
    <comment authorId="0" ref="E2467">
      <text>
        <t xml:space="preserve">Costs for hosting PU-dinners twice a year or to be used during the "Sikftes-vecka"
</t>
      </text>
    </comment>
    <comment authorId="0" ref="E2468">
      <text>
        <t xml:space="preserve">Travel costs associated with the representation and educational/team building trips.</t>
      </text>
    </comment>
    <comment authorId="0" ref="E2469">
      <text>
        <t xml:space="preserve">Accomodation costs.</t>
      </text>
    </comment>
    <comment authorId="0" ref="E2470">
      <text>
        <t xml:space="preserve">Connected to 3010 to subsidize the PU kick-off weekend, 19XX34.
21/22 One Kick-off during the Spring for PU 21/22 And one ordinary during February 2022 for PU 22/23
Put back prel 22/23
22/23 Put back to 6500 as a normal year
</t>
      </text>
    </comment>
    <comment authorId="0" ref="E2474">
      <text>
        <t xml:space="preserve">70 SEK * 100 pers for 3 times. 
22/23 Added back due to demand </t>
      </text>
    </comment>
    <comment authorId="0" ref="E2475">
      <text>
        <t xml:space="preserve">3 Pre-parties and 3 Pubs a 5000 each
22/23 Added back due to demand 
22/23 Increased prices in the bar
</t>
      </text>
    </comment>
    <comment authorId="0" ref="E2476">
      <text>
        <t xml:space="preserve">Corresponds to 3011
22/23 Added back due to demand 
22/23 Increased prices in the bar</t>
      </text>
    </comment>
    <comment authorId="0" ref="E2477">
      <text>
        <t xml:space="preserve">Halfday 40 SEK *15 pers á 6 times
22/23 Added back due to demand </t>
      </text>
    </comment>
    <comment authorId="0" ref="E2478">
      <text>
        <t xml:space="preserve">Transaction fees
22/23 Added back due to demand </t>
      </text>
    </comment>
    <comment authorId="0" ref="E2487">
      <text>
        <t xml:space="preserve">Connected to 6071, 19XX29
21/22 One Kick-off during the Spring for PU 21/22 And one ordinary during February 2022 for PU 22/23</t>
      </text>
    </comment>
    <comment authorId="0" ref="E2488">
      <text>
        <t xml:space="preserve">185.7 x 35 = 6500 (35 persons that buys tickets for the bus) </t>
      </text>
    </comment>
    <comment authorId="0" ref="E2489">
      <text>
        <t xml:space="preserve">Cost for the bus to the Kick-off (6500). Plus two vans for transport (4500). 
21/22 One Kick-off during the Spring for PU 21/22 And one ordinary during February 2022 for PU 22/23
</t>
      </text>
    </comment>
    <comment authorId="0" ref="E2490">
      <text>
        <t xml:space="preserve">(75 x 32) x 5=12 000 Food for breakfast, lunch and dinner day one and breakfast and dinner day two. + (9,375*32)= 300 for food for the pre-dinner 
21/22 One Kick-off during the Spring for PU 21/22 And one ordinary during February 2022 for PU 22/23</t>
      </text>
    </comment>
    <comment authorId="0" ref="E2491">
      <text>
        <t xml:space="preserve">Decorations and props for the full weekend and dinner. Cutlery, props for games, challenges, security, tejp, phone cards, water containers, and more
21/22 One Kick-off during the Spring for PU 21/22 And one ordinary during February 2022 for PU 22/23</t>
      </text>
    </comment>
    <comment authorId="0" ref="E2499">
      <text>
        <t xml:space="preserve">Internal sales of alcohol within the student association (including the entertainment committee, excluding parties considered as separate projects in the budget)
21/22 Decreased because of covid. Approx 10% decrease from normal year
</t>
      </text>
    </comment>
    <comment authorId="0" ref="E2500">
      <text>
        <t xml:space="preserve">External sales of alcohol to private persons or organisations outside the student association, including SSE with a 25% markup according to  law. Increased in line with outcome. 
22/23 Back to normal</t>
      </text>
    </comment>
    <comment authorId="0" ref="E2501">
      <text>
        <t xml:space="preserve">Costs for purchasing alcohol. Increased in line with increase in 3032.</t>
      </text>
    </comment>
    <comment authorId="0" ref="E2502">
      <text>
        <t xml:space="preserve">Purchase of mixers and alcohol free beverages to parties. Cost moved from Utilities.
22/23 was a new concept where Spritis has taken all the costs and this has not been divided with VKO anymore. Based on outcome. </t>
      </text>
    </comment>
    <comment authorId="0" ref="E2503">
      <text>
        <t xml:space="preserve">Handover and meetings between the current Spritis and spritis emeriti.</t>
      </text>
    </comment>
    <comment authorId="0" ref="E2504">
      <text>
        <t xml:space="preserve">Disposable articles such as plastic glasses, straws. Based on outcome. For all parties in all committees. 
22/23 was a new concept where Spritis has taken all the costs and this has not been divided with VKO anymore. Based on outcome. </t>
      </text>
    </comment>
    <comment authorId="0" ref="E2505">
      <text>
        <t xml:space="preserve">Based on 2013's fees for the permission, includes both Sveavägen and Holländargatan
22/23 Removed since we have not get an invoice for this since 2019</t>
      </text>
    </comment>
    <comment authorId="0" ref="E2506">
      <text>
        <t xml:space="preserve">2000kr
Bar equipment such as shakers, openers and freeflow pourers 
5000kr 
For extra bar equipment during events in the atrium e.g Summer Party
21/22 put back to a normal year
</t>
      </text>
    </comment>
    <comment authorId="0" ref="E2507">
      <text>
        <t xml:space="preserve">Freight cost for alcohol and supplies</t>
      </text>
    </comment>
    <comment authorId="0" ref="E2508">
      <text>
        <t xml:space="preserve">External sales of alcohol to private persons or organisations outside the student association, including SSE with a 25% markup according to  law. Increased in line with outcome.</t>
      </text>
    </comment>
    <comment authorId="0" ref="E2512">
      <text>
        <t xml:space="preserve">Moved to Entertainment Committee (191701)
Calculated after outcome. 90% Margin</t>
      </text>
    </comment>
    <comment authorId="0" ref="E2513">
      <text>
        <t xml:space="preserve">Moved to Entertainment Committee (191701)</t>
      </text>
    </comment>
    <comment authorId="0" ref="E2516">
      <text>
        <t xml:space="preserve">Master Diploma Prom New afterparty for 2014/15. Last year the party was an external event.</t>
      </text>
    </comment>
    <comment authorId="0" ref="E2517">
      <text>
        <t xml:space="preserve">Moved to Entertainment Committee (191702)
Calculated after outcome. 90% Margin</t>
      </text>
    </comment>
    <comment authorId="0" ref="E2518">
      <text>
        <t xml:space="preserve">Moved to Entertainment Committee (191702)</t>
      </text>
    </comment>
    <comment authorId="0" ref="E2521">
      <text>
        <t xml:space="preserve">Vårpub - party in the spring, Margin at 90 %.
Removed 14/15</t>
      </text>
    </comment>
    <comment authorId="0" ref="E2522">
      <text>
        <t xml:space="preserve">Moved to Entertainment Committee (191703)</t>
      </text>
    </comment>
    <comment authorId="0" ref="E2523">
      <text>
        <t xml:space="preserve">Moved to Entertainment Committee (191703)</t>
      </text>
    </comment>
    <comment authorId="0" ref="E2526">
      <text>
        <t xml:space="preserve">Summerparty Based on last years outcome</t>
      </text>
    </comment>
    <comment authorId="0" ref="E2527">
      <text>
        <t xml:space="preserve">Moved to Entertainment Committee (191706)
Calculated after outcome. 90% Margin</t>
      </text>
    </comment>
    <comment authorId="0" ref="E2528">
      <text>
        <t xml:space="preserve">Moved to Entertainment Committee (191706)</t>
      </text>
    </comment>
    <comment authorId="0" ref="E2529">
      <text>
        <t xml:space="preserve">Moved to spritis Central (281700)</t>
      </text>
    </comment>
    <comment authorId="0" ref="E2533">
      <text>
        <t xml:space="preserve">Calculated after outcome. 90% Margin</t>
      </text>
    </comment>
    <comment authorId="0" ref="E2543">
      <text>
        <t xml:space="preserve">Calculated after outcome. 90% Margin</t>
      </text>
    </comment>
    <comment authorId="0" ref="E2548">
      <text>
        <t xml:space="preserve">Calculated after outcome. 90% Margin</t>
      </text>
    </comment>
    <comment authorId="0" ref="E2553">
      <text>
        <t xml:space="preserve">Calculated after outcome. 90% Margin</t>
      </text>
    </comment>
    <comment authorId="0" ref="E2558">
      <text>
        <t xml:space="preserve">Calculated after outcome. 90% Margin</t>
      </text>
    </comment>
    <comment authorId="0" ref="E2563">
      <text>
        <t xml:space="preserve">Calculated after outcome. 90% Margin</t>
      </text>
    </comment>
    <comment authorId="0" ref="E2568">
      <text>
        <t xml:space="preserve">Calculated after outcome. 90% Margin</t>
      </text>
    </comment>
    <comment authorId="0" ref="E2573">
      <text>
        <t xml:space="preserve">Calculated after outcome. 90% Margin</t>
      </text>
    </comment>
    <comment authorId="0" ref="E2578">
      <text>
        <t xml:space="preserve">Calculated after outcome. 90% Margin</t>
      </text>
    </comment>
    <comment authorId="0" ref="E2583">
      <text>
        <t xml:space="preserve">Calculated after outcome. 90% Margin</t>
      </text>
    </comment>
    <comment authorId="0" ref="E2588">
      <text>
        <t xml:space="preserve">Moved to Social Committee 16/17</t>
      </text>
    </comment>
    <comment authorId="0" ref="E2589">
      <text>
        <t xml:space="preserve">Moved to Social Committee 16/17</t>
      </text>
    </comment>
    <comment authorId="0" ref="E2593">
      <text>
        <t xml:space="preserve">Calculated after outcome. 90% Margin</t>
      </text>
    </comment>
    <comment authorId="0" ref="E2598">
      <text>
        <t xml:space="preserve">Calculated after outcome. 90% Margin</t>
      </text>
    </comment>
    <comment authorId="0" ref="E2603">
      <text>
        <t xml:space="preserve">Removed 16/17</t>
      </text>
    </comment>
    <comment authorId="0" ref="E2613">
      <text>
        <t xml:space="preserve">Akavia sponsor: 80k
</t>
      </text>
    </comment>
    <comment authorId="0" ref="E2614">
      <text>
        <t xml:space="preserve">Costs associated with internal committee events, "Skiften" for example</t>
      </text>
    </comment>
    <comment authorId="0" ref="E2615">
      <text>
        <t xml:space="preserve">Gifts for 2 lunch lectures 2*100
22/23 decreased to 2 lectures</t>
      </text>
    </comment>
    <comment authorId="0" ref="E2616">
      <text>
        <t xml:space="preserve">1000 kr for buying treats during the introductory week; Bachelors, Masters and Exchange. </t>
      </text>
    </comment>
    <comment authorId="0" ref="E2617">
      <text>
        <t xml:space="preserve">Moved to 4050</t>
      </text>
    </comment>
    <comment authorId="0" ref="E2618">
      <text>
        <t xml:space="preserve">Costs for "skiften", internal festivites and other similar arrangements. 
30% of total internal meetings for the profit center. Increased due to costs for renting Enoksro.
Part of new template 18/19.</t>
      </text>
    </comment>
    <comment authorId="0" ref="E2619">
      <text>
        <t xml:space="preserve">Workwear according to template. Committee Hoodies to the Board 6*550 SEK plus medals 6*80 SEK
21/22: Increased amount of members</t>
      </text>
    </comment>
    <comment authorId="0" ref="E2620">
      <text>
        <t xml:space="preserve">Posters and other marketing for the committee activities (Recruiting class reps, information, committee events etc). 
</t>
      </text>
    </comment>
    <comment authorId="0" ref="E2621">
      <text>
        <t xml:space="preserve">Education or arrangements to improve the committee board's ability to work. Can be used for internal education, books, conferences, etc. 
Increased 21/22 due to one more conference regarding operational efficiency of the education committee.
22/23 removed initiative 21/22.</t>
      </text>
    </comment>
    <comment authorId="0" ref="E2622">
      <text>
        <t xml:space="preserve">Cost for "fika" or lunch during meetings with students, for example focus groups about different ongoing questions</t>
      </text>
    </comment>
    <comment authorId="0" ref="E2623">
      <text>
        <t xml:space="preserve">Food for 20 people * 3 lectures*75 sek
22/23 decreased back to 1 lunch lecture</t>
      </text>
    </comment>
    <comment authorId="0" ref="E2624">
      <text>
        <t xml:space="preserve">Meetings with predecessors, e.g. patetmiddagar
500 SEK for collab predecessor-events with board</t>
      </text>
    </comment>
    <comment authorId="0" ref="E2625">
      <text>
        <t xml:space="preserve">Meetings with regards to Committee President post descriptions. 
</t>
      </text>
    </comment>
    <comment authorId="0" ref="E2626">
      <text>
        <t xml:space="preserve">Meetings handover with successor and predecessor to encourage a smooth tranistion, according to template. 
1 KS (3) 5 PG (2,25)
</t>
      </text>
    </comment>
    <comment authorId="0" ref="E2627">
      <text>
        <t xml:space="preserve">According to new template. 
1 KS (3) 5 PG (2,25)
1000 + 5 x 800 = 5000 SEK
2 Edu interns (0,25)=200 sek
23/24 Reduced to 2 interns</t>
      </text>
    </comment>
    <comment authorId="0" ref="E2628">
      <text>
        <t xml:space="preserve">To keep the committee room up to standard.</t>
      </text>
    </comment>
    <comment authorId="0" ref="E2629">
      <text>
        <t xml:space="preserve">Travel to important meetings with EDU purpose
22/23 added since it has been needed a lot during 22/23</t>
      </text>
    </comment>
    <comment authorId="0" ref="E2630">
      <text>
        <t xml:space="preserve">Removed 16/17 due to lack of need.</t>
      </text>
    </comment>
    <comment authorId="0" ref="E2631">
      <text>
        <t xml:space="preserve">Removed in 18/19, added to the Social Committee budget. </t>
      </text>
    </comment>
    <comment authorId="0" ref="E2632">
      <text>
        <t xml:space="preserve">SASSE Educational Benchmarking Trip. Structure for the trip is yet to be confirmed. Suggested cost is based on previous trip.
This budget is contingent on the trip being approved by the student council in accordance with the travel policy.
</t>
      </text>
    </comment>
    <comment authorId="0" ref="E2636">
      <text>
        <t xml:space="preserve">Money received for educational coverage by the state through SSE.
22/23 Shall be updated in def 23/24</t>
      </text>
    </comment>
    <comment authorId="0" ref="E2637">
      <text>
        <t xml:space="preserve">Cost for fika/lunch during meetings with students, for example focus groups about different ongoing questions.
5*10*100 Online
10*10*85+3*4*85  Physical
23/24 Increased due to added elective reperesentatives</t>
      </text>
    </comment>
    <comment authorId="0" ref="E2638">
      <text>
        <t xml:space="preserve">Candy to småttings after their first exam (SEK 1000).
</t>
      </text>
    </comment>
    <comment authorId="0" ref="E2639">
      <text>
        <t xml:space="preserve">Workwear according to template. 
32 class representatives (1,25) *180 
12 specialization rep (0,75)*180
</t>
      </text>
    </comment>
    <comment authorId="0" ref="E2640">
      <text>
        <t xml:space="preserve">According to new template. 
32 class representatives (1,25) 
12 specialization rep (0,75)</t>
      </text>
    </comment>
    <comment authorId="0" ref="E2641">
      <text>
        <t xml:space="preserve">According to new template. 
32 class representatives (1,25)
12 specialization rep (0,75)
Should be used for:
Pre-focus-group-meetings  18 BSc + 22 MSc + Head of BSc (3 meetings) + Head of MSc (2 meetings) + UU pres (5 meetings), 4 times/year.
22/23 Elective rep: 1 rep per 55 electives, (0,25) = 100sek 
Note: in summer after meeting could be lowered du to number of electives offered </t>
      </text>
    </comment>
    <comment authorId="0" ref="E2642">
      <text>
        <t xml:space="preserve">Cost for travel (approximately 1500 * 5)
Accommodation (2400*4+1200)
1200 for summer 
Food (2100* 4+1400)
1400 for summer
For President of SASSE and President of the Education Committee during U9 conferences. Billed by the SA hosting the conference (except for travel expenses).
22/23 Removed 1 U9 since it will be held by SASSE. </t>
      </text>
    </comment>
    <comment authorId="0" ref="E2646">
      <text>
        <t xml:space="preserve">Gifts for ToY at the Diploma Ceremony (2*200=200)
22/23 Increased price per gift </t>
      </text>
    </comment>
    <comment authorId="0" ref="E2647">
      <text>
        <t xml:space="preserve">For decoration and arrangement for the lecture for the winner. </t>
      </text>
    </comment>
    <comment authorId="0" ref="E2648">
      <text>
        <t xml:space="preserve">2 lectures in total (60 students á lunch for 75 SEK)</t>
      </text>
    </comment>
    <comment authorId="0" ref="E2652">
      <text>
        <t xml:space="preserve">3 gifts for the people correcting the exams in National Championship in Economics. (3*100SEK) 300SEK</t>
      </text>
    </comment>
    <comment authorId="0" ref="E2653">
      <text>
        <t xml:space="preserve">Fika for the participants in the qualification rounds arranged by SASSE (National Championship in Economics).</t>
      </text>
    </comment>
    <comment authorId="0" ref="E2654">
      <text>
        <t xml:space="preserve">Lunch for the winners of the semi round
21/22 put back to a normal year</t>
      </text>
    </comment>
    <comment authorId="0" ref="E2655">
      <text>
        <t xml:space="preserve">Winner of the semi round traveling to and from business competitions (National Championship in Economics) 3*750 SEK=2 250 SEK
23/24 Increase due to ticket prices
</t>
      </text>
    </comment>
    <comment authorId="0" ref="E2656">
      <text>
        <t xml:space="preserve">Expenses for participating in business competitions (National Championship in Economics). 3 times 1100 SEK = 3300 SEK
22/23 Increased fee</t>
      </text>
    </comment>
    <comment authorId="0" ref="E2660">
      <text>
        <t xml:space="preserve">Money from sponsor.</t>
      </text>
    </comment>
    <comment authorId="0" ref="E2661">
      <text>
        <t xml:space="preserve">Money to organise an event outisde of the study sessions. For example a visit to a company or start a type of mentor program</t>
      </text>
    </comment>
    <comment authorId="0" ref="E2662">
      <text>
        <t xml:space="preserve">Workwear for the project leaders. 2 PL * 150 SEK = 300
</t>
      </text>
    </comment>
    <comment authorId="0" ref="E2663">
      <text>
        <t xml:space="preserve">For example fika at the beginning and end of term, kick off or other activities for study encouragement.</t>
      </text>
    </comment>
    <comment authorId="0" ref="E2664">
      <text>
        <t xml:space="preserve">For a fika/lunch to encourage a smooth transition between the old and new project leader.</t>
      </text>
    </comment>
    <comment authorId="0" ref="E2665">
      <text>
        <t xml:space="preserve">Internal meetings for PL and tutors (approx 20 members depending on semester) 
</t>
      </text>
    </comment>
    <comment authorId="0" ref="E2666">
      <text>
        <t xml:space="preserve">Traveling to and from Hässelbygårdsskolan in Hässelby. (approximately 30 weeks á 50SEK used every time). Can also be used to travel with the pupils to study encouraging activity.</t>
      </text>
    </comment>
    <comment authorId="0" ref="E2670">
      <text>
        <t xml:space="preserve">Ticket Revenues </t>
      </text>
    </comment>
    <comment authorId="0" ref="E2671">
      <text>
        <t xml:space="preserve">Cost for decoration and disposables for the dinners.</t>
      </text>
    </comment>
    <comment authorId="0" ref="E2672">
      <text>
        <t xml:space="preserve">Cost for food for 2 dinners with approximetly 120 people 100 sek per person
22/23 Increased price per person since this are old alumni with large impact on the school and good to have a great relation with to outcome
</t>
      </text>
    </comment>
    <comment authorId="0" ref="E2673">
      <text>
        <t xml:space="preserve">Printing of nametags and programmes
22/23 added nametags since it has been needed lats years</t>
      </text>
    </comment>
    <comment authorId="0" ref="E2674">
      <text>
        <t xml:space="preserve">Workwear according to template. 
2 PL(0,75) 1PG (0,5) * 200
22/23 decreased amount of ppl in project group</t>
      </text>
    </comment>
    <comment authorId="0" ref="E2675">
      <text>
        <t xml:space="preserve">According to new template. 
2 PL (0.75)
1 PG (0,5)
22/23 decreased amount of ppl in project group</t>
      </text>
    </comment>
    <comment authorId="0" ref="E2676">
      <text>
        <t xml:space="preserve">2 PL (0.75) 
1*PG (0.5) 
22/23 decreased amount of ppl in project group</t>
      </text>
    </comment>
    <comment authorId="0" ref="E2680">
      <text>
        <t xml:space="preserve">Supplies for the tutor sessions, e.g books for the tutors, white board markers or similar
</t>
      </text>
    </comment>
    <comment authorId="0" ref="E2681">
      <text>
        <t xml:space="preserve">Workwear according to template. Workwear for 1*PL (1), 2 PG (0,5)
 22/23 decreased amount of people. 
</t>
      </text>
    </comment>
    <comment authorId="0" ref="E2682">
      <text>
        <t xml:space="preserve">Cost for fika during the tutor sessions. Based on 5 sessions during period, 4 period, 150 SEK per session (4 * 5 * 100 SEK)
23/24 Increased due to positive feedback. 
</t>
      </text>
    </comment>
    <comment authorId="0" ref="E2683">
      <text>
        <t xml:space="preserve">According to new template. 
1 PL (1) 2 PG (0,5)
 22/23 decreased amount of people. 
</t>
      </text>
    </comment>
    <comment authorId="0" ref="E2684">
      <text>
        <t xml:space="preserve">According to new template. 
1 * PL (1) + 2 PG (0,5) 
 22/23 decreased amount of people. 
</t>
      </text>
    </comment>
    <comment authorId="0" ref="E2688">
      <text>
        <t xml:space="preserve">Master representative sponsorship
23/24 Remaning sponsorship that was not used 22/23</t>
      </text>
    </comment>
    <comment authorId="0" ref="E2689">
      <text>
        <t xml:space="preserve">Ticket revenue during events
58*450 sek</t>
      </text>
    </comment>
    <comment authorId="0" ref="E2690">
      <text>
        <t xml:space="preserve">Cost concering the trip such as food, drinks and accomodation
</t>
      </text>
    </comment>
    <comment authorId="0" ref="E2691">
      <text>
        <t xml:space="preserve">Cost for organizing MBM events and teambuilding activities
23/24 Added back remainer from previous year. One time cost.</t>
      </text>
    </comment>
    <comment authorId="0" ref="E2695">
      <text>
        <t xml:space="preserve">Moved to 17xx23 as part of wider reform of UU</t>
      </text>
    </comment>
    <comment authorId="0" ref="E2696">
      <text>
        <t xml:space="preserve">Moved to 17xx23 as part of wider reform of UU</t>
      </text>
    </comment>
    <comment authorId="0" ref="E2697">
      <text>
        <t xml:space="preserve">Moved to 17xx23 as part of wider reform of UU</t>
      </text>
    </comment>
    <comment authorId="0" ref="E2698">
      <text>
        <t xml:space="preserve">Moved to 17xx23 as part of wider reform of UU</t>
      </text>
    </comment>
    <comment authorId="0" ref="E2699">
      <text>
        <t xml:space="preserve">Moved to 17xx23 as part of wider reform of UU</t>
      </text>
    </comment>
    <comment authorId="0" ref="E2700">
      <text>
        <t xml:space="preserve">Moved to 17xx23 as part of wider reform of UU</t>
      </text>
    </comment>
    <comment authorId="0" ref="E2701">
      <text>
        <t xml:space="preserve">Moved to 17xx23 as part of wider reform of UU</t>
      </text>
    </comment>
    <comment authorId="0" ref="E2705">
      <text>
        <t xml:space="preserve">Revenue from the sale of tickets for the dinner. Calculated on outcome. Removed 17/18.</t>
      </text>
    </comment>
    <comment authorId="0" ref="E2706">
      <text>
        <t xml:space="preserve">Estimated bar sales. Removed 17/18.
</t>
      </text>
    </comment>
    <comment authorId="0" ref="E2707">
      <text>
        <t xml:space="preserve">For purchase of alcohol. Removed 17/18.</t>
      </text>
    </comment>
    <comment authorId="0" ref="E2708">
      <text>
        <t xml:space="preserve">Marshall costs, food and drinks for workers. Removed 17/18.</t>
      </text>
    </comment>
    <comment authorId="0" ref="E2709">
      <text>
        <t xml:space="preserve">Food and drink at events held by Ph.D. Club. Calculated on outcome 15/16. Removed 17/18.</t>
      </text>
    </comment>
    <comment authorId="0" ref="E2742">
      <text>
        <t xml:space="preserve">19/20: Moved to 18xx24</t>
      </text>
    </comment>
    <comment authorId="0" ref="E2743">
      <text>
        <t xml:space="preserve">19/20: Moved to 18xx24</t>
      </text>
    </comment>
    <comment authorId="0" ref="E2744">
      <text>
        <t xml:space="preserve">19/20: Moved to 18xx24</t>
      </text>
    </comment>
    <comment authorId="0" ref="E2745">
      <text>
        <t xml:space="preserve">19/20: Moved to 18xx24</t>
      </text>
    </comment>
    <comment authorId="0" ref="E2746">
      <text>
        <t xml:space="preserve">Transaction fees for ticket sales</t>
      </text>
    </comment>
    <comment authorId="0" ref="E2750">
      <text>
        <t xml:space="preserve">Initiative 16/17</t>
      </text>
    </comment>
    <comment authorId="0" ref="E2751">
      <text>
        <t xml:space="preserve">Initiative 16/17
</t>
      </text>
    </comment>
    <comment authorId="0" ref="E2752">
      <text>
        <t xml:space="preserve">For SASSE Board to arrange to encourage the relation with SSE faculty and staff
19/20: moved to 10xx01</t>
      </text>
    </comment>
    <comment authorId="0" ref="E2753">
      <text>
        <t xml:space="preserve">For SASSE Board to arrange to encourage the relation with SSE faculty and staff
19/20: moved to 10xx01</t>
      </text>
    </comment>
    <comment authorId="0" ref="E2757">
      <text>
        <t xml:space="preserve">Ticket revenue from 30 people à 300 sek. Removed 17/18.
</t>
      </text>
    </comment>
    <comment authorId="0" ref="E2758">
      <text>
        <t xml:space="preserve">Food and drinks for 40 people à 250 sek. Removed 17/18.</t>
      </text>
    </comment>
    <comment authorId="0" ref="E2759">
      <text>
        <t xml:space="preserve">Two half time. Removed 17/18.</t>
      </text>
    </comment>
    <comment authorId="0" ref="E2760">
      <text>
        <t xml:space="preserve">Decorations to the pub. 100 kr per funkis (600 kr) + marknadsföringsmaterial 1000. Removed 17/18.</t>
      </text>
    </comment>
    <comment authorId="0" ref="E2761">
      <text>
        <t xml:space="preserve">decorations, ballons, flowers etc. Removed 17/18.</t>
      </text>
    </comment>
    <comment authorId="0" ref="E2762">
      <text>
        <t xml:space="preserve">Gifts for 6 speakers, 100 sek per speaker. Removed 17/18.</t>
      </text>
    </comment>
    <comment authorId="0" ref="E2763">
      <text>
        <t xml:space="preserve">Travel costs for speakers. Removed 17/18.</t>
      </text>
    </comment>
    <comment authorId="0" ref="E2767">
      <text>
        <t xml:space="preserve">Lunch for seminars on themes (digitalization, student health eg) for 60 students a 60 SEK, approx, ambition is that SSE will pay for half. Fika during the working group meetings.  Removed 17/18.
</t>
      </text>
    </comment>
    <comment authorId="0" ref="E2768">
      <text>
        <t xml:space="preserve">gift to speakers. Ambition is that SSE will pay half. Removed 17/18.
</t>
      </text>
    </comment>
    <comment authorId="0" ref="E2772">
      <text>
        <t xml:space="preserve">Moved to 14xx24 as part of wider reform of UU</t>
      </text>
    </comment>
    <comment authorId="0" ref="E2773">
      <text>
        <t xml:space="preserve">Moved to 14xx24 as part of wider reform of UU</t>
      </text>
    </comment>
    <comment authorId="0" ref="E2774">
      <text>
        <t xml:space="preserve">Moved to 14xx24 as part of wider reform of UU</t>
      </text>
    </comment>
    <comment authorId="0" ref="E2775">
      <text>
        <t xml:space="preserve">Moved to 14xx24 as part of wider reform of UU</t>
      </text>
    </comment>
    <comment authorId="0" ref="E2776">
      <text>
        <t xml:space="preserve">Moved to 14xx24 as part of wider reform of UU</t>
      </text>
    </comment>
    <comment authorId="0" ref="E2777">
      <text>
        <t xml:space="preserve">Moved to 14xx24 as part of wider reform of UU</t>
      </text>
    </comment>
    <comment authorId="0" ref="E2778">
      <text>
        <t xml:space="preserve">Moved to 14xx24 as part of wider reform of UU</t>
      </text>
    </comment>
    <comment authorId="0" ref="E2782">
      <text>
        <t xml:space="preserve">16 pers á 2200 SEK for the hole weekend
23/24 Added due to SASSE doing the event</t>
      </text>
    </comment>
    <comment authorId="0" ref="E2783">
      <text>
        <t xml:space="preserve">Internat tickets for Pres and UU ord for the hole weekend
23/24 Added back due to SASSE hosting the event</t>
      </text>
    </comment>
    <comment authorId="0" ref="E2784">
      <text>
        <t xml:space="preserve">Arrengement for fika and notebooks
23/24 Added back due to SASSE hosting</t>
      </text>
    </comment>
    <comment authorId="0" ref="E2785">
      <text>
        <t xml:space="preserve">Lunch during the conferens</t>
      </text>
    </comment>
    <comment authorId="0" ref="E2786">
      <text>
        <t xml:space="preserve">Accoumundation for everyone excluding SASSE</t>
      </text>
    </comment>
    <comment authorId="0" ref="E2787">
      <text>
        <t xml:space="preserve">Connected to 3014</t>
      </text>
    </comment>
    <comment authorId="0" ref="E2791">
      <text>
        <t xml:space="preserve">Ticket revenue for old U9 Participants
23/24 Added back since SASSE is hosting</t>
      </text>
    </comment>
    <comment authorId="0" ref="E2792">
      <text>
        <t xml:space="preserve">Marschal cost for UU board who will work during the evening.
23/24 Added back since SASSE is hosting</t>
      </text>
    </comment>
    <comment authorId="0" ref="E2793">
      <text>
        <t xml:space="preserve">Two courses dinner for all participants
23/24 Added back since SASSE is hosting</t>
      </text>
    </comment>
    <comment authorId="0" ref="E2794">
      <text>
        <t xml:space="preserve">Ornament for decorations in the Pub
23/24 Added back since SASSE is hosting</t>
      </text>
    </comment>
    <comment authorId="0" ref="E2795">
      <text>
        <t xml:space="preserve">Added bus to Enoksro, needed since we are not allowed to have the event at school. 
23/24 Added back since SASSE is hosting</t>
      </text>
    </comment>
    <comment authorId="0" ref="E2804">
      <text>
        <t xml:space="preserve">Ticket revenue from internal council events
</t>
      </text>
    </comment>
    <comment authorId="0" ref="E2805">
      <text>
        <t xml:space="preserve">1000 kr for buying treats during the introductory week; Bachelors, Masters and Exchange. 
</t>
      </text>
    </comment>
    <comment authorId="0" ref="E2806">
      <text>
        <t xml:space="preserve">New prel 22/23
Food for workshops and working groups
Calculated on ca 15 meetings </t>
      </text>
    </comment>
    <comment authorId="0" ref="E2807">
      <text>
        <t xml:space="preserve">Food and Drinks for internal events, Eg. Patetdinner
20/21 Moved from 212005
</t>
      </text>
    </comment>
    <comment authorId="0" ref="E2808">
      <text>
        <t xml:space="preserve">Costs for "skiften", internal festivites and other similar arrangements. 
30% of total internal meetings for the profit center. Increased due to costs for renting Enoksro.
Part of new template 18/19.</t>
      </text>
    </comment>
    <comment authorId="0" ref="E2809">
      <text>
        <t xml:space="preserve">Workwear according to template.
Chair (2) + 4 BOD (1,5) + 8 Members(0,75) 
20/21 Ordinary does not follow template when it comes to medals, they get one medal for 80 sek.
FUM 20/21 bought medals for the next 4 years. New ones 24/25.
</t>
      </text>
    </comment>
    <comment authorId="0" ref="E2810">
      <text>
        <t xml:space="preserve">Printing necessary documents and posters for the Student Council and Equality group
No need for new rollup during 23/24 was bought 2021</t>
      </text>
    </comment>
    <comment authorId="0" ref="E2811">
      <text>
        <t xml:space="preserve">Education or arrangements to improve the student council's ability to work. Can be used for internal education, books, conferences, etc. </t>
      </text>
    </comment>
    <comment authorId="0" ref="E2812">
      <text>
        <t xml:space="preserve">Educative literature on matters relevant for the council such as meetings proceedures, equality matters, safety issues etc. Removed 2016 since the literature bought in previous years is still in use. </t>
      </text>
    </comment>
    <comment authorId="0" ref="E2813">
      <text>
        <t xml:space="preserve">Removed in 17/18 as it was only to be used during the council transition year
</t>
      </text>
    </comment>
    <comment authorId="0" ref="E2814">
      <text>
        <t xml:space="preserve">Increased due to more members attending then earlier years.
Calculated for 10 Council meetings (two in may). Estimated that an average of 30 people will participate in a normal meeting. In addition to the 30 who normally participate, more people attend during the elections and during the SA Board handover. Each dinner costs 80 kr.
The Council x 13
IA x 2
SA Board x 11
Reps x 2
Co-opted participants x 3
+ 25 candidates in Nov
+10 candidates in May
+5 extra Bod in May
+ extra KS x11 in Dec, Jan, Feb, May
+6 HHSS Consulting in April
Approximately 400 dinners per year.
The FUM beer: 540 kr per meeting.
Average 20 people x 2 x 13,5 kr = 540 kr.
FUM fika: 200 kr, 10 meetings
22/23 Increased due to more members attending then earlier years.</t>
      </text>
    </comment>
    <comment authorId="0" ref="E2815">
      <text>
        <t xml:space="preserve">Meetings for the Board of Directors with the Emeriti Board of Directors </t>
      </text>
    </comment>
    <comment authorId="0" ref="E2816">
      <text>
        <t xml:space="preserve">Meetings handover according to template.
Chair (2), 4 BoD (1,5), 8 Council Members (0,75)</t>
      </text>
    </comment>
    <comment authorId="0" ref="E2817">
      <text>
        <t xml:space="preserve">Removed in 17/18 as it was only to be used during the council transition year
</t>
      </text>
    </comment>
    <comment authorId="0" ref="E2818">
      <text>
        <t xml:space="preserve">1 Chair (2), 4 Bod (1,5), 8 Members (0,75)</t>
      </text>
    </comment>
    <comment authorId="0" ref="E2819">
      <text>
        <t xml:space="preserve">Travel cost removed in 17/18 as it was not used.</t>
      </text>
    </comment>
    <comment authorId="0" ref="E2823">
      <text>
        <t xml:space="preserve">No longer used. </t>
      </text>
    </comment>
    <comment authorId="0" ref="E2824">
      <text>
        <t xml:space="preserve">500 kr for buying treats during the introductory week; Bachelors, Masters and Exchange. </t>
      </text>
    </comment>
    <comment authorId="0" ref="E2825">
      <text>
        <t xml:space="preserve">Costs associated with arranging Equality forums &amp; feminism lectures</t>
      </text>
    </comment>
    <comment authorId="0" ref="E2826">
      <text>
        <t xml:space="preserve">Clothing to increase the visibility of the Equality Ombud.
Equality representative (1,5)
4*PG (0,75)
22/23 Decrease PG</t>
      </text>
    </comment>
    <comment authorId="0" ref="E2827">
      <text>
        <t xml:space="preserve">Printing costs for posters etc.
20/21 Decreased and centralized under 212000. </t>
      </text>
    </comment>
    <comment authorId="0" ref="E2828">
      <text>
        <t xml:space="preserve">Education in equality issues for the SASSE Board and SASSE Council. Removed 16/17 since SSE provides education for the Equality Group</t>
      </text>
    </comment>
    <comment authorId="0" ref="E2829">
      <text>
        <t xml:space="preserve">Food and Drink for Equality Forum calculated for 30 people*75 SEK * 2 Times = 4500
Feminism lectures (moved from 21xx07)= 40 people *75 SEK* 2
</t>
      </text>
    </comment>
    <comment authorId="0" ref="E2830">
      <text>
        <t xml:space="preserve">Meetings handover according to template. 
1 PL (1,25), 4 PG (0,75)
22/23 Decrease PG</t>
      </text>
    </comment>
    <comment authorId="0" ref="E2831">
      <text>
        <t xml:space="preserve">According to template. 1 equality representative (1,25) and 4 in PG (0,75)
22/23 Decrease PG</t>
      </text>
    </comment>
    <comment authorId="0" ref="E2832">
      <text>
        <t xml:space="preserve">The account is to be used to increase visibility of the Equality Group. Example: Pride parade
Around 33 people x 150 SEK = 5000
21/22 put back to a normal year
</t>
      </text>
    </comment>
    <comment authorId="0" ref="E2833">
      <text>
        <t xml:space="preserve">33 full price exhibiting companies á 29 000 x 2days + 1 half price exhibiting company 1day</t>
      </text>
    </comment>
    <comment authorId="0" ref="E2834">
      <text>
        <t xml:space="preserve">1 Workshop = 20 000kr
</t>
      </text>
    </comment>
    <comment authorId="0" ref="E2836">
      <text>
        <t xml:space="preserve">22/23 Removed due to no interest last years
21/22 Sponsorship revenues for EQ week 
</t>
      </text>
    </comment>
    <comment authorId="0" ref="E2837">
      <text>
        <t xml:space="preserve">22/23 Removed due to no interest last years
Digital event 21/22 = no ticket revenue</t>
      </text>
    </comment>
    <comment authorId="0" ref="E2838">
      <text>
        <t xml:space="preserve">22/23 Removed due to no interest last years
Gifts 200*5 participants in main panel</t>
      </text>
    </comment>
    <comment authorId="0" ref="E2839">
      <text>
        <t xml:space="preserve">22/23 Removed due to no interest last years
Arrangements for decor or other during the week. </t>
      </text>
    </comment>
    <comment authorId="0" ref="E2840">
      <text>
        <t xml:space="preserve">22/23 Removed due to no interest last years
Sponsoring company events (4) + diversity panel (1), first 40 signups 75 sek
Other events (7 in total). first 30 signups food voucher = 7*30*75
</t>
      </text>
    </comment>
    <comment authorId="0" ref="E2841">
      <text>
        <t xml:space="preserve">22/23 Removed due to no interest last years
Digital Drag show
4*2500 for each drag performer
Running coctail event: 3000 sek in surprisegifts for participants</t>
      </text>
    </comment>
    <comment authorId="0" ref="E2842">
      <text>
        <t xml:space="preserve">22/23 Removed due to no interest last years
Venue hire for studio
</t>
      </text>
    </comment>
    <comment authorId="0" ref="E2845">
      <text>
        <t xml:space="preserve">1 Web-TV combo 12 000kr
3 Instagram posts x 3000kr
1 Push notification x 4000kr</t>
      </text>
    </comment>
    <comment authorId="0" ref="E2846">
      <text>
        <t xml:space="preserve">22723 Added costs for internal trials for candidates in the election 500 per candidate, was added through a motion 2022 but has been seen neccesary the last years</t>
      </text>
    </comment>
    <comment authorId="0" ref="E2847">
      <text>
        <t xml:space="preserve">Purchases related to arranging the elections itself and all events related to the election.</t>
      </text>
    </comment>
    <comment authorId="0" ref="E2848">
      <text>
        <t xml:space="preserve">Workwear to increase visibility of the election committee in their work. Calculated as 1 PL(1,5) and 5 PG(0,75)
22/23 Decrease PG</t>
      </text>
    </comment>
    <comment authorId="0" ref="E2849">
      <text>
        <t xml:space="preserve">For printing candidate election posters
20/21 Decreased due to outcome</t>
      </text>
    </comment>
    <comment authorId="0" ref="E2850">
      <text>
        <t xml:space="preserve">Lunches with former candidates/elected, calculated as 40 interested candidates x 2 lunches/candidate x 200 kr/lunch.
Moved from 111805 18/19.
Increased due to outcome 22/23
</t>
      </text>
    </comment>
    <comment authorId="0" ref="E2851">
      <text>
        <t xml:space="preserve">Meetings handover according to template. 
1 PL (1,5) and 5 PG (0,75)
22/23 Decrease PG</t>
      </text>
    </comment>
    <comment authorId="0" ref="E2852">
      <text>
        <t xml:space="preserve">According to new template. 
1 PL (1,5) and 5 PG (0,75)
22/23 Decrease PG</t>
      </text>
    </comment>
    <comment authorId="0" ref="E2856">
      <text>
        <t xml:space="preserve">2*100
According to new template.
They don't receive exchange merits but are equivalent to 0,75</t>
      </text>
    </comment>
    <comment authorId="0" ref="E2857">
      <text>
        <t xml:space="preserve">According to new template. 
2 ppl (0,75) 2 * 300 = 600
</t>
      </text>
    </comment>
    <comment authorId="0" ref="E2861">
      <text>
        <t xml:space="preserve">Removed</t>
      </text>
    </comment>
    <comment authorId="0" ref="E2862">
      <text>
        <t xml:space="preserve">Removed</t>
      </text>
    </comment>
    <comment authorId="0" ref="E2863">
      <text>
        <t xml:space="preserve">Clothing to increase the visibility of the Safety Representative.
20/21 Decreased due to lower exchange merits</t>
      </text>
    </comment>
    <comment authorId="0" ref="E2864">
      <text>
        <t xml:space="preserve">Meetings handover according to template 18/19. 
0,25 exchange merits</t>
      </text>
    </comment>
    <comment authorId="0" ref="E2865">
      <text>
        <t xml:space="preserve">According to new template. 
1 PL (0,25)
21/22 Removed</t>
      </text>
    </comment>
    <comment authorId="0" ref="E2869">
      <text>
        <t xml:space="preserve">Ticket revenue from internal council events
20/21 Centralized and moved to 212000</t>
      </text>
    </comment>
    <comment authorId="0" ref="E2870">
      <text>
        <t xml:space="preserve">Food and Drinks for internal events
20/21 Centralized and moved to 212000</t>
      </text>
    </comment>
    <comment authorId="0" ref="E2880">
      <text>
        <t xml:space="preserve">Costs associated with aranging the seminars during Equality Week
22/23 Moved to 21xx01</t>
      </text>
    </comment>
    <comment authorId="0" ref="E2881">
      <text>
        <t xml:space="preserve">According to new template. 
2 PL (0,5)
22/23 Moved to 21xx01</t>
      </text>
    </comment>
    <comment authorId="0" ref="E2882">
      <text>
        <t xml:space="preserve">Food and drinks for three seminars for 40 people á 75 SEK = 8 400 SEK
Equality Week
22/23 Moved to 21xx01</t>
      </text>
    </comment>
    <comment authorId="0" ref="E2883">
      <text>
        <t xml:space="preserve">According to new template. 
2 PL (0,5)
22/23 Moved to 21xx01</t>
      </text>
    </comment>
    <comment authorId="0" ref="E2884">
      <text>
        <t xml:space="preserve">According to new template. 
2 PL (0,5) 2 PG (0,25)
22/23 Moved to 21xx01</t>
      </text>
    </comment>
    <comment authorId="0" ref="E2888">
      <text>
        <t xml:space="preserve">According to new template. 
1 rep (1)</t>
      </text>
    </comment>
    <comment authorId="0" ref="E2889">
      <text>
        <t xml:space="preserve">According to new template. 
1 rep (1)</t>
      </text>
    </comment>
    <comment authorId="0" ref="E2890">
      <text>
        <t xml:space="preserve">According to new template. 
1 rep (1)
</t>
      </text>
    </comment>
    <comment authorId="0" ref="E2899">
      <text>
        <t xml:space="preserve">Correlating with 4012. 90% mark-up.</t>
      </text>
    </comment>
    <comment authorId="0" ref="E2900">
      <text>
        <t xml:space="preserve">Study Circles for the project and the different project groups.</t>
      </text>
    </comment>
    <comment authorId="0" ref="E2901">
      <text>
        <t xml:space="preserve">2000SEK for decorations and snacks to the recruitment events.</t>
      </text>
    </comment>
    <comment authorId="0" ref="E2902">
      <text>
        <t xml:space="preserve">Correlating with 3030. 90% markup.</t>
      </text>
    </comment>
    <comment authorId="0" ref="E2903">
      <text>
        <t xml:space="preserve">1000 kr for buying treats during the introductory week; Bachelors, Masters and Exchange.</t>
      </text>
    </comment>
    <comment authorId="0" ref="E2904">
      <text>
        <t xml:space="preserve">Moved to 4050</t>
      </text>
    </comment>
    <comment authorId="0" ref="E2905">
      <text>
        <t xml:space="preserve">Costs for "skiften", internal festivites and other similar arrangements. 
30% of total internal meetings for the profit center.
Part of template</t>
      </text>
    </comment>
    <comment authorId="0" ref="E2906">
      <text>
        <t xml:space="preserve">Purchase of hoodies and medals to committee, 550+80 SEK per person (11 persons)
Purchase of sweaters for project group 200 SEK per person (35 persons)
Dry cleaning of Hostpikéer 4000 SEK.
23/24 Added two project sponsors</t>
      </text>
    </comment>
    <comment authorId="0" ref="E2907">
      <text>
        <t xml:space="preserve">Printing costs of contracts and information sheets during the recruitment events etc</t>
      </text>
    </comment>
    <comment authorId="0" ref="E2908">
      <text>
        <t xml:space="preserve">To be spent on purchases 10 copies of The Five dysfunctions of a team, that will help us develop our leadership skills within the committee</t>
      </text>
    </comment>
    <comment authorId="0" ref="E2909">
      <text>
        <t xml:space="preserve">Meetings with previous HD Presidents &amp; Vice Presidents.</t>
      </text>
    </comment>
    <comment authorId="0" ref="E2910">
      <text>
        <t xml:space="preserve">Meetings handover according to template. 
PL (2.75), 11 HDK (2). 37 PG (1)</t>
      </text>
    </comment>
    <comment authorId="0" ref="E2911">
      <text>
        <t xml:space="preserve">Internal meetings according to template
1 PL (2,75), 11 Committee (2), 37 PG (1)</t>
      </text>
    </comment>
    <comment authorId="0" ref="E2912">
      <text>
        <t xml:space="preserve">Running-cost website.</t>
      </text>
    </comment>
    <comment authorId="0" ref="E2913">
      <text>
        <t xml:space="preserve">Plasma screens (estimated 6000). 
Other technical equipment like walkie talkies, extention cords etc.
21/22 put back to a normal year</t>
      </text>
    </comment>
    <comment authorId="0" ref="E2914">
      <text>
        <t xml:space="preserve">Moved to 241901</t>
      </text>
    </comment>
    <comment authorId="0" ref="E2915">
      <text>
        <t xml:space="preserve">Transport for business meetings and goods/speakers. </t>
      </text>
    </comment>
    <comment authorId="0" ref="E2916">
      <text>
        <t xml:space="preserve">Trips for fairs in other cities,  including flight tickets, hotel, banquet tickets 11 persons. 3000 kr/person
</t>
      </text>
    </comment>
    <comment authorId="0" ref="E2917">
      <text>
        <t xml:space="preserve">Not used last year</t>
      </text>
    </comment>
    <comment authorId="0" ref="E2921">
      <text>
        <t xml:space="preserve">Companies paying the fee for sustainable contribution if they want to.  
Correlated to 4010. 
22/23 25000 sustainability contribution removed, shall go plus minus 0. </t>
      </text>
    </comment>
    <comment authorId="0" ref="E2922">
      <text>
        <t xml:space="preserve">Main Partners: 2 á 125 000 SEK 
Premium Partners: 2 á 55 000 SEK
Exhibiting companies, full price:
55 * 35 000 SEK 
Discount due to Capital partners:
- EY: - 25 000 SEK
- Other capital partners based on the number of capital partners that last year participated in Handelsdagarna: -45 000
22/23 increased due to higher prices
Discounts due to the company being a committee sponsor, based on last year: -15 000
</t>
      </text>
    </comment>
    <comment authorId="0" ref="E2923">
      <text>
        <t xml:space="preserve">Based on last years number of extra lunch tickets sold(45) and this years price of 250 SEK per ticket
22/23 higher price but decreased amount of tickets
</t>
      </text>
    </comment>
    <comment authorId="0" ref="E2924">
      <text>
        <t xml:space="preserve">- Various material and supply - for example: High desks, messenger service, paper, bowls. The calculation is based on last years outcome: 21 800 SEK 
- Various cost for the student and host lounge that has been moved from 241901 4076, and that is based on last years outcome: 8000 SEK</t>
      </text>
    </comment>
    <comment authorId="0" ref="E2925">
      <text>
        <t xml:space="preserve">Donation to compensate for the carbon dioxid generated by the fair. Moved to 4010 Purchases, materials and supplies
21/22 put back to a normal year</t>
      </text>
    </comment>
    <comment authorId="0" ref="E2926">
      <text>
        <t xml:space="preserve">Marshall costs include necesseties such as food, snacks and drinks.
According to new template 20/21
2 one and a half days for 100 hosts and 2 one and a half day for 46 in P, HDK
</t>
      </text>
    </comment>
    <comment authorId="0" ref="E2927">
      <text>
        <t xml:space="preserve">Sponsorship bags. Successful sponsorship deal last year that can't be guaranteed for this year</t>
      </text>
    </comment>
    <comment authorId="0" ref="E2928">
      <text>
        <t xml:space="preserve">- Breakfast and lunch for exhibiting companies (regualr partners), 3 persons/company, 55 companies à 3 x (50+135) 
- Lunch for main sponsors, 2 companies 14 persons each in total 28 people = 28 x (135) SEK 
- Breakfast and lunch for Premium Partners, 2 companies in total 20 persons = 20 x (50+135) SEK 
- Breakfast and lunch for other sponsors (Ströms), 3 persons x 2 days = 6 x (50+135) sek = total 1 110 SEK.
- AD-luncher, (11xHDK +15 x Gadden + 12 x Karrieredagene + 12 x EEE-dagarna + 2 x Teamdagarna + 2 x THS armada + 2 x Uppsalaekonomerna) = 56 à 135 SEK and in total 7 560 SEK
- 45 extra company breakfast and lunch tickets á 185, that is based on last years outcome. total 9 805 SEK 
- 2000 SEK Purchases for Company lounge.
- 4000 SEK dairy products.
Food and drinks for hosts moved to 4013.
22/23 Raised prices for lunch due to being more expensive now. Decreased amount correlating to 3110. Added Lunch for HDK in ADL lunches</t>
      </text>
    </comment>
    <comment authorId="0" ref="E2929">
      <text>
        <t xml:space="preserve">Decorations for the entire fair and the cost is based on last years results 
21/22 put back to a normal year
</t>
      </text>
    </comment>
    <comment authorId="0" ref="E2930">
      <text>
        <t xml:space="preserve">Based on last years expenses due to maintenance and repairs, consisting most of cleaning and garbage management
23/24 Increased due to outcome</t>
      </text>
    </comment>
    <comment authorId="0" ref="E2934">
      <text>
        <t xml:space="preserve">We expect to sell 4 lectures á 15000 SEK per lecture
22/23 
Moved to 242208</t>
      </text>
    </comment>
    <comment authorId="0" ref="E2935">
      <text>
        <t xml:space="preserve">Based on the cost for the food at the events, which the company arranging the event pay for:
- 3 company events for 40 students á 100 SEK
22/23 
Moved to 242208</t>
      </text>
    </comment>
    <comment authorId="0" ref="E2936">
      <text>
        <t xml:space="preserve">Purchases for interview sessions, workshops and evening event and is increased this year due to an increase in events during the week</t>
      </text>
    </comment>
    <comment authorId="0" ref="E2937">
      <text>
        <t xml:space="preserve">Marshal costs include necessities such as food, snacks and drinks. According to new template 20/21.
Marshal cost of 6 hosts working 3 half days á 40 SEK per day.
Marshal cost of 10 ppl working 1 half day á 40 SEK per day.
22/23 added Late night talk show</t>
      </text>
    </comment>
    <comment authorId="0" ref="E2938">
      <text>
        <t xml:space="preserve">Gifts to lecturers, 20 à 100 sek.
22/23 changed to be in line with all other gift accounts within the association
23/24 Reduced the number of lectures</t>
      </text>
    </comment>
    <comment authorId="0" ref="E2939">
      <text>
        <t xml:space="preserve">22/23 Planned 3 inspirational lectures, accoring to template à 40 students 75 SEK</t>
      </text>
    </comment>
    <comment authorId="0" ref="E2940">
      <text>
        <t xml:space="preserve">Decorations for the interview sessions, lectures and evening event.
23/24 Reduced due be in line with expectation</t>
      </text>
    </comment>
    <comment authorId="0" ref="E2941">
      <text>
        <t xml:space="preserve">3000SEK. Costs of renting microphones to lecturers and technical equipment to evening event.
Equipment late night talk show approx 35 000
22/23 removed live stream</t>
      </text>
    </comment>
    <comment authorId="0" ref="E2945">
      <text>
        <t xml:space="preserve">540 Spaces in totalt minus 372 for company representatives and other schools and project members leaves 168 tickets for sale at the price of 450 SEK per ticket</t>
      </text>
    </comment>
    <comment authorId="0" ref="E2946">
      <text>
        <t xml:space="preserve">Increased transparency. Internal representation on the Handelsdagarna Banquet. 
100hosts à 450 SEK +35PG à 450 SEK +11HDK*2 nights à 450 SEK + SASSE Board 11 people * 2</t>
      </text>
    </comment>
    <comment authorId="0" ref="E2947">
      <text>
        <t xml:space="preserve">Extra wine sales for the banquet, based on last years budget and outcome
22/23 Increased prices in the bar</t>
      </text>
    </comment>
    <comment authorId="0" ref="E2948">
      <text>
        <t xml:space="preserve">Tables, chairs and entrance wristbands. Based on last years outcome</t>
      </text>
    </comment>
    <comment authorId="0" ref="E2949">
      <text>
        <t xml:space="preserve">Based on last year's calculation.</t>
      </text>
    </comment>
    <comment authorId="0" ref="E2950">
      <text>
        <t xml:space="preserve">Marshal costs include necessities such as food, snacks and drinks. According to new template 20/21.
2 half days. 30 people working two nights.</t>
      </text>
    </comment>
    <comment authorId="0" ref="E2951">
      <text>
        <t xml:space="preserve">Dinner, 540 covers à 360 sek. (total  194 400sek).</t>
      </text>
    </comment>
    <comment authorId="0" ref="E2952">
      <text>
        <t xml:space="preserve">Based on last years outcome</t>
      </text>
    </comment>
    <comment authorId="0" ref="E2953">
      <text>
        <t xml:space="preserve">Based on last years outcome
23/24 Reallocated money from 24xx04 4078</t>
      </text>
    </comment>
    <comment authorId="0" ref="E2954">
      <text>
        <t xml:space="preserve">Equipment purchased 18/19 will be used.</t>
      </text>
    </comment>
    <comment authorId="0" ref="E2955">
      <text>
        <t xml:space="preserve">Increased transparency. Internal representation on the Handelsdagarna Banquet. 
100hosts à 450 SEK +35PG à 450 SEK +11HDK*2 nights à 450 SEK</t>
      </text>
    </comment>
    <comment authorId="0" ref="E2956">
      <text>
        <t xml:space="preserve">7800 SEK Guard Fees: 2 guards x 2 nights x 5 hours/day à 547,5 sek. 
(2 x 5 x 547,5) x 2 
20/21: raised hourly price</t>
      </text>
    </comment>
    <comment authorId="0" ref="E2957">
      <text>
        <t xml:space="preserve">Transaction fees connected to ticket sales. Updated to Nortic</t>
      </text>
    </comment>
    <comment authorId="0" ref="E2961">
      <text>
        <t xml:space="preserve">Based on last years results</t>
      </text>
    </comment>
    <comment authorId="0" ref="E2962">
      <text>
        <t xml:space="preserve">Based on last years outcome
23/24 Reduced in line with outcome</t>
      </text>
    </comment>
    <comment authorId="0" ref="E2963">
      <text>
        <t xml:space="preserve">8 000SEK. Purchase of soda, ice, batteries, candles etc
Based on last years outcome</t>
      </text>
    </comment>
    <comment authorId="0" ref="E2964">
      <text>
        <t xml:space="preserve">Alcohol purchases with a 90% add on will result in bar sales 
22/23 Increased prices in the bar</t>
      </text>
    </comment>
    <comment authorId="0" ref="E2965">
      <text>
        <t xml:space="preserve">Marshall costs include necesseties such as food, snacks and drinks.
According to new template 20/21
2 half days. 25 people working two nights.</t>
      </text>
    </comment>
    <comment authorId="0" ref="E2966">
      <text>
        <t xml:space="preserve">Decorations for the after party  and based on the cost for decorating the Pub and the rotunda
23/24 Reallocated money too 24xx03 4078</t>
      </text>
    </comment>
    <comment authorId="0" ref="E2967">
      <text>
        <t xml:space="preserve">Fencing and area restriction.</t>
      </text>
    </comment>
    <comment authorId="0" ref="E2968">
      <text>
        <t xml:space="preserve">7 guards working 6 hours for two days (547,5 SEK per hour)
20/21: raised hourly price</t>
      </text>
    </comment>
    <comment authorId="0" ref="E2969">
      <text>
        <t xml:space="preserve">Transaction fees connected to ticket sales. Updated to Nortic</t>
      </text>
    </comment>
    <comment authorId="0" ref="E2973">
      <text>
        <t xml:space="preserve">2 Instagram takeovers á 5000 SEK 
2 Marketing Combo á 4000 SEK
1 Instagram post á 2000 SEK</t>
      </text>
    </comment>
    <comment authorId="0" ref="E2974">
      <text>
        <t xml:space="preserve">Includes:
16000 SEK for print necessary to the fair for example posters, bags, maps, folders. Color print of banquet menues. 
Reduced due to no Hostpikeés needed this year 
- 1500 SEK (2 x 750 SEK) Roll-Ups
- 3800 SEK HD Shield
- 1500 SEK for informational signs
21/22 put back to a normal year</t>
      </text>
    </comment>
    <comment authorId="0" ref="E2975">
      <text>
        <t xml:space="preserve">Design programmes and plugins to Website  approx 4700
Lowered in 19/20 as cost for app will be lower. To be adjusted in 20/21 according to the exact running costs of the app. Adobe programs have also been removed as these are provided by MedU
22/23 removed App since that is not used anymore. </t>
      </text>
    </comment>
    <comment authorId="0" ref="E2978">
      <text>
        <t xml:space="preserve">Needs to be presented as a motion to the SASSE Board and the Student Council</t>
      </text>
    </comment>
    <comment authorId="0" ref="E2979">
      <text>
        <t xml:space="preserve">Based on last years results
21/22 put back to a normal year</t>
      </text>
    </comment>
    <comment authorId="0" ref="E2980">
      <text>
        <t xml:space="preserve">Removed in 19/20 as this can be subsidised by other accounts such as 4190 or 4050 in 241900</t>
      </text>
    </comment>
    <comment authorId="0" ref="E2981">
      <text>
        <t xml:space="preserve">25 000SEK. Venue hire as last year
21/22 put back to a normal year</t>
      </text>
    </comment>
    <comment authorId="0" ref="E2982">
      <text>
        <t xml:space="preserve">We got a great sponsorship deal last year that can not be guaranteed this year
22/23 travel has git higher prices the last years. similar to other projects. </t>
      </text>
    </comment>
    <comment authorId="0" ref="E2986">
      <text>
        <t xml:space="preserve">Ticket revenue for host parties. Based on last years results
22/23 changed according to outcome</t>
      </text>
    </comment>
    <comment authorId="0" ref="E2987">
      <text>
        <t xml:space="preserve">Bar sales. 90% markup.
correlation with 4012.
22/23 changed according to outcome
22/23 Increased prices in the bar</t>
      </text>
    </comment>
    <comment authorId="0" ref="E2988">
      <text>
        <t xml:space="preserve">Alcohol purchases with a 90% add on will result in bar sales
22/23 changed according to outcome
22/23 Increased prices in the bar</t>
      </text>
    </comment>
    <comment authorId="0" ref="E2989">
      <text>
        <t xml:space="preserve">Marshal costs include necessities such as food, snacks and drinks. According to new template 20/21.
10 people working half a day results in 10 x 40 SEK = 400 SEK</t>
      </text>
    </comment>
    <comment authorId="0" ref="E2990">
      <text>
        <t xml:space="preserve">4000 SEK to the kick in</t>
      </text>
    </comment>
    <comment authorId="0" ref="E2991">
      <text>
        <t xml:space="preserve">Food for the kick in, 110 persons á 120 SEK per person</t>
      </text>
    </comment>
    <comment authorId="0" ref="E2992">
      <text>
        <t xml:space="preserve">No longer part of template for frequently used accounts</t>
      </text>
    </comment>
    <comment authorId="0" ref="E2993">
      <text>
        <t xml:space="preserve">3 guards for 6 hours.
22/23 changed to new price
</t>
      </text>
    </comment>
    <comment authorId="0" ref="E2994">
      <text>
        <t xml:space="preserve">Transaction fees connected to ticket sales. Updated to Nortic</t>
      </text>
    </comment>
    <comment authorId="0" ref="E2998">
      <text>
        <t xml:space="preserve">1 small events á 10 000 SEK 
1 medium event á 15000 SEK
1 large event á 20 000 SEK 
22/23 Added from 242202 and changed according to new prices. 
23/24 Reduced to be in line with the outcome</t>
      </text>
    </comment>
    <comment authorId="0" ref="E2999">
      <text>
        <t xml:space="preserve">Based on the cost for the food at the events, which the company arranging the event pay for:
1 small events with 20 students á  100 SEK per student 
1 medium events with 40 students á 100 SEK per student
1 large events with 60 students á 100 SEK per student
22/23 Added from 242202</t>
      </text>
    </comment>
    <comment authorId="0" ref="E3000">
      <text>
        <t xml:space="preserve">Correlated with 3076.
22/23 Added from 242202</t>
      </text>
    </comment>
    <comment authorId="0" ref="E3001">
      <text>
        <t xml:space="preserve">Based on the cost for Decorations </t>
      </text>
    </comment>
    <comment authorId="0" ref="E3002">
      <text>
        <t xml:space="preserve">4 guards for 6 hours.</t>
      </text>
    </comment>
    <comment authorId="0" ref="E3012">
      <text>
        <t xml:space="preserve">1 sponsors á 20 000 SEK and 1 sponsor a 18 000 SEK</t>
      </text>
    </comment>
    <comment authorId="0" ref="E3013">
      <text>
        <t xml:space="preserve">Moved to account 3110 Sponsorship revenue</t>
      </text>
    </comment>
    <comment authorId="0" ref="E3014">
      <text>
        <t xml:space="preserve">Friday
20 free seats for Sponsors
15 free seats for special guests
549 tickets a 350 sek
Saturday
Free seats 20 for special guests
564 tickets á 350 SEK
23/24 Reduced in line with expectations</t>
      </text>
    </comment>
    <comment authorId="0" ref="E3015">
      <text>
        <t xml:space="preserve">Study Circles for the project and the different project groups working with the manuscript, in the ensemble etc. Estimated based on outcome.
Not expected 22/23</t>
      </text>
    </comment>
    <comment authorId="0" ref="E3016">
      <text>
        <t xml:space="preserve">Flowers for ensemble, project group, scriptwrights, + bouquets for directors, chapel master, and a small gift for all teams. Kept at same level as last year.
22/23 this shall be changed for next year to be in line with all other gift accounts. </t>
      </text>
    </comment>
    <comment authorId="0" ref="E3017">
      <text>
        <t xml:space="preserve">Moved to 4050 as part of template 18/19</t>
      </text>
    </comment>
    <comment authorId="0" ref="E3018">
      <text>
        <t xml:space="preserve">Costs for "skiften", internal festivites and other similar arrangements. 
30% of total internal meetings for the profit center.
Part of new template 18/19.</t>
      </text>
    </comment>
    <comment authorId="0" ref="E3019">
      <text>
        <t xml:space="preserve">1 project leaders = 2 points 550 + 80 SEK
1 vice PL= 1.5 550 SEK
12 actors = 1.25 200 SEK
4 BCD Leader = 1,5 550 SEK
10 BCD= 1 points 200 SEK
6 committee members = 1 point 200 SEK
25 in project group = 0,5 200 SEK
21/22 new exchange merits</t>
      </text>
    </comment>
    <comment authorId="0" ref="E3020">
      <text>
        <t xml:space="preserve">Posters, folders, alumni invitations etc. 
23/24 Wants to take back printed tickets and “programblad”, back to 20/21 levels.</t>
      </text>
    </comment>
    <comment authorId="0" ref="E3021">
      <text>
        <t xml:space="preserve">Costs for external marketing, such as social media campaigns etc. Lowered since has not been fully used. </t>
      </text>
    </comment>
    <comment authorId="0" ref="E3022">
      <text>
        <t xml:space="preserve">Costs for external marketing, such as social media campaigns etc. Kept the same as last year.</t>
      </text>
    </comment>
    <comment authorId="0" ref="E3023">
      <text>
        <t xml:space="preserve">Scenography (15 000) and costumes and make-up (15 000). Cost estimated based on last year's spex while the costume and make-up team this year also will look for sponsors this year which has not been done earlier. </t>
      </text>
    </comment>
    <comment authorId="0" ref="E3024">
      <text>
        <t xml:space="preserve">Meetings with predecessors, e.g. patetmiddagar, According to template. </t>
      </text>
    </comment>
    <comment authorId="0" ref="E3025">
      <text>
        <t xml:space="preserve">Meetings handover according to template.
1 project leaders = 2 points
1 vice project leaders = 1,5 points
12 actors = 1.25
10 BCD= 1 points
10 committee members = 1 point
25 in project group = 0,5 points
22/23, back to template</t>
      </text>
    </comment>
    <comment authorId="0" ref="E3026">
      <text>
        <t xml:space="preserve">1 project leaders = 2 points
1 vice project leaders = 1,5 points
4 BCD Leader = 1,5 points
12 actors = 1.25
10 BCD= 1 points
6 committee members = 1 point
25 in project group = 0,5 points
21/22 according to template</t>
      </text>
    </comment>
    <comment authorId="0" ref="E3027">
      <text>
        <t xml:space="preserve">Rental of theatre Intiman for 3 days. 
23/24 Intiman has raised their price. (30 000 Hire + 2 850 cleaning) * 3 * 1.25 + 3 475 Guards</t>
      </text>
    </comment>
    <comment authorId="0" ref="E3028">
      <text>
        <t xml:space="preserve">Rental of sound and lightning equipment. 
23/34 Based on last years outcome and added singers equipment</t>
      </text>
    </comment>
    <comment authorId="0" ref="E3029">
      <text>
        <t xml:space="preserve">Fees for ticket service providers like Nortic
23/24 Lowered due to expected ticket sale</t>
      </text>
    </comment>
    <comment authorId="0" ref="E3030">
      <text>
        <t xml:space="preserve">22/23 Is included in venue hire</t>
      </text>
    </comment>
    <comment authorId="0" ref="E3031">
      <text>
        <t xml:space="preserve">Salary for farce director, 60 000 paid out as salary. 78 852 inc. taxes etc. Increased prel 20/21 in order to be able to keep the current director. 
Works 10/h a week for 4 months and more the closer to the show</t>
      </text>
    </comment>
    <comment authorId="0" ref="E3035">
      <text>
        <t xml:space="preserve">Ticket revenue will match cost</t>
      </text>
    </comment>
    <comment authorId="0" ref="E3036">
      <text>
        <t xml:space="preserve">Ticket revenue will match cost</t>
      </text>
    </comment>
    <comment authorId="0" ref="E3040">
      <text>
        <t xml:space="preserve">Replaced by 25XX03 and 25XX04</t>
      </text>
    </comment>
    <comment authorId="0" ref="E3041">
      <text>
        <t xml:space="preserve">Replaced by 25XX03 and 25XX04</t>
      </text>
    </comment>
    <comment authorId="0" ref="E3042">
      <text>
        <t xml:space="preserve">Replaced by 25XX03 and 25XX04</t>
      </text>
    </comment>
    <comment authorId="0" ref="E3043">
      <text>
        <t xml:space="preserve">Replaced by 25XX03 and 25XX04</t>
      </text>
    </comment>
    <comment authorId="0" ref="E3044">
      <text>
        <t xml:space="preserve">Replaced by 25XX03 and 25XX04</t>
      </text>
    </comment>
    <comment authorId="0" ref="E3048">
      <text>
        <t xml:space="preserve">100 kr x 60 ppl. Sunday evening show. 
22/23 KTH has cancelled their show. Will be put back in Prel 23/24</t>
      </text>
    </comment>
    <comment authorId="0" ref="E3052">
      <text>
        <t xml:space="preserve">Ticket revenue from participants 
22/23 No ticket revenue is needed. </t>
      </text>
    </comment>
    <comment authorId="0" ref="E3053">
      <text>
        <t xml:space="preserve">Food and drinks for rehearsals 2,5 days
</t>
      </text>
    </comment>
    <comment authorId="0" ref="E3054">
      <text>
        <t xml:space="preserve">Rental of Enoksro. Internally invoiced from VKO
23/24 Increased due to Enoksro not being avaiable for use, seen as a one time cost</t>
      </text>
    </comment>
    <comment authorId="0" ref="E3055">
      <text>
        <t xml:space="preserve">Transporting instruments etc to Enoksro</t>
      </text>
    </comment>
    <comment authorId="0" ref="E3056">
      <text>
        <t xml:space="preserve">Transaction fees for tickets</t>
      </text>
    </comment>
    <comment authorId="0" ref="E3065">
      <text>
        <t xml:space="preserve">Folkuniversitet grants
20/21 Removed due to lack of intrest from Friedmans. Has not been received last years. 
</t>
      </text>
    </comment>
    <comment authorId="0" ref="E3066">
      <text>
        <t xml:space="preserve">Costs for food and drinks after performing at SASSE festivities. 
21/22 Should not follow template</t>
      </text>
    </comment>
    <comment authorId="0" ref="E3067">
      <text>
        <t xml:space="preserve">Moved to 26xx01
</t>
      </text>
    </comment>
    <comment authorId="0" ref="E3068">
      <text>
        <t xml:space="preserve">1000 kr for buying treats during the introductory week; Bachelors, Masters and Exchange. </t>
      </text>
    </comment>
    <comment authorId="0" ref="E3069">
      <text>
        <t xml:space="preserve">Costs for "skiften", internal festivites and other similar arrangements. 
30% of total internal meetings for the profit center. Increased due to costs for renting Enoksro.
Part of new template 18/19.</t>
      </text>
    </comment>
    <comment authorId="0" ref="E3070">
      <text>
        <t xml:space="preserve">Workwear according to template. 
1 president (1,75), 5 Board (1,25), 1 conductor (1,5) 40 PG (0,75)
22/23: Raised as more board members</t>
      </text>
    </comment>
    <comment authorId="0" ref="E3071">
      <text>
        <t xml:space="preserve">6000 sek Printing and purchases of sheet music.
23/24 Increased due to outcome
</t>
      </text>
    </comment>
    <comment authorId="0" ref="E3072">
      <text>
        <t xml:space="preserve">Food and drinks for rehearsals. 
22/23: Put back to baseline before corona, increased with 1000 due to inflation</t>
      </text>
    </comment>
    <comment authorId="0" ref="E3073">
      <text>
        <t xml:space="preserve">Meetings with predecessors, e.g. patetmiddagar</t>
      </text>
    </comment>
    <comment authorId="0" ref="E3074">
      <text>
        <t xml:space="preserve">Costs for lunch or coffee during the handover meetings for the old and the new board members.
According to the template.
1 Pres (1,75) - 200kr
5 Friedmans Board (1,25) - 200kr
1 Friedmans Conductor (1,5) - 200kr
No handovers for members
</t>
      </text>
    </comment>
    <comment authorId="0" ref="E3075">
      <text>
        <t xml:space="preserve">Costs for meetings/practices; dinner and drinks. 
According to template.
1 Project leader (1,75)
1 Friedmans conductor (1,5)
5 Friedmans Board (1,25)
40 Friedmans members (0,75)
</t>
      </text>
    </comment>
    <comment authorId="0" ref="E3076">
      <text>
        <t xml:space="preserve">Accessories for the room of Friedmans. 
</t>
      </text>
    </comment>
    <comment authorId="0" ref="E3077">
      <text>
        <t xml:space="preserve">Added to account for costs associated with the Squarespace website
22/23 changed according to new price for squarespace and removed the cost for the drive since it should be paid from TechU</t>
      </text>
    </comment>
    <comment authorId="0" ref="E3078">
      <text>
        <t xml:space="preserve">Choir equipment (folders for members for music sheets)
23/24 Added one time cost for folders and frames </t>
      </text>
    </comment>
    <comment authorId="0" ref="E3079">
      <text>
        <t xml:space="preserve">Removed. </t>
      </text>
    </comment>
    <comment authorId="0" ref="E3080">
      <text>
        <t xml:space="preserve">The dirigent is now a student att SSE. Therefore removed (16/17)
</t>
      </text>
    </comment>
    <comment authorId="0" ref="E3084">
      <text>
        <t xml:space="preserve">Revenue from external events
Lucia events approx 10 000*17
(160 000 SEK)
Diploma ceremonies approx (2 x 10 000 kr)
Other events 10 000*2
22/23 increased due to outcome and higher prices.
</t>
      </text>
    </comment>
    <comment authorId="0" ref="E3085">
      <text>
        <t xml:space="preserve">Ticket revenue form concerts
7 000 spring concert
20 000 Christmas concert
22/23 Increased due to new ticket prices
</t>
      </text>
    </comment>
    <comment authorId="0" ref="E3086">
      <text>
        <t xml:space="preserve">Revenue from SSE to cover food costs at diploma ceremonies, connected to 4076
21/22 put back to a normal year</t>
      </text>
    </comment>
    <comment authorId="0" ref="E3087">
      <text>
        <t xml:space="preserve">Printing for concerts and other necessities</t>
      </text>
    </comment>
    <comment authorId="0" ref="E3088">
      <text>
        <t xml:space="preserve">For Lucia preparation such as bands, wreaths, the Lucia crown and candles. Includes gifts for gratitude (2 000 SEK). 
</t>
      </text>
    </comment>
    <comment authorId="0" ref="E3089">
      <text>
        <t xml:space="preserve">Costs for food at diploma ceremonies, connected to 3076
21/22 put back to a normal year</t>
      </text>
    </comment>
    <comment authorId="0" ref="E3093">
      <text>
        <t xml:space="preserve">Decreased with the same as decrease in travel costs (see Def. 17/18)</t>
      </text>
    </comment>
    <comment authorId="0" ref="E3094">
      <text>
        <t xml:space="preserve">21/22 If the actual (outcome) net profit of projects 26xx01 and 26xx02 combined is negative, hence the revenue from 26xx01 doesn't cover the costs from 26xx02, the difference will be invoiced to the members of Friedman's apostlar so that the actual outcome of project 26xx01 and 26xx02 becomes +/- 0. 
Friedmans members will not be invoiced for costs in 26xx00 even if they are not covered by the revenue from 26xx01 as budgeted.</t>
      </text>
    </comment>
    <comment authorId="0" ref="E3095">
      <text>
        <t xml:space="preserve">2 sittningar à 15000kr per sittning (skiftessittning - April, introsittning - September) 
+
2 Kick off à 7500 sek
+
2 concert hang outs of à 5500kr (spring concert / christmas concert)
22/23 Back to normal year.</t>
      </text>
    </comment>
    <comment authorId="0" ref="E3096">
      <text>
        <t xml:space="preserve">Costs for the choir weekend in the fall. Covers rent, food drinks and if possible transportation for all choir members. </t>
      </text>
    </comment>
    <comment authorId="0" ref="E3097">
      <text>
        <t xml:space="preserve">Costs for the choir trip in the spring. The budget includes accommodation, dinner, breakfast and activities for all active choir members. 
</t>
      </text>
    </comment>
    <comment authorId="0" ref="E3106">
      <text>
        <t xml:space="preserve">Grant from Misum to spend on sustainability 100 000 SEK and leftover money from Misum previous years. 
Secured 5 years from 20/21
22/23 outcome 92 000 SEK</t>
      </text>
    </comment>
    <comment authorId="0" ref="E3107">
      <text>
        <t xml:space="preserve">Participation in the Bachelor and Master introduction. According to template.
moved to 4076 will be back when Misum not longer give money. </t>
      </text>
    </comment>
    <comment authorId="0" ref="E3108">
      <text>
        <t xml:space="preserve">Sustainability initiatives that the PG want to fund. PL reports every year to MISUM about progress. Connected to 3010. 
21/22
Lunch Lectures: 
40 pers * 5 lectures * 85 SEK = 17 100 SEK
Fashon X Sustainability 
60 000 SEK
Effective Alturism: 
4 000 SEK 
Introduction contribution: 
1 000 SEK
Sustainabillity Fund(Application is availiable at sasse.se): 20 000 SEK</t>
      </text>
    </comment>
    <comment authorId="0" ref="E3109">
      <text>
        <t xml:space="preserve">Costs for "skiften", internal festivites and other similar arrangements. 
30% of total internal meetings for the profit center. Increased due to costs for renting Enoksro.
Part of new template 18/19.</t>
      </text>
    </comment>
    <comment authorId="0" ref="E3110">
      <text>
        <t xml:space="preserve">Workwear according to template. 
1 PL (2), 5 PG (1,5)
20/21 New Exchange merits
22/23 1 more PG</t>
      </text>
    </comment>
    <comment authorId="0" ref="E3111">
      <text>
        <t xml:space="preserve">Meetings with predecessors, e.g. patetmiddagar
20/21 Added</t>
      </text>
    </comment>
    <comment authorId="0" ref="E3112">
      <text>
        <t xml:space="preserve">Meetings handover according to template. 
1 PL (2), 5 PG (1,5)
22/23 one more PG</t>
      </text>
    </comment>
    <comment authorId="0" ref="E3113">
      <text>
        <t xml:space="preserve">According to new template. 
1 PL (2), 5 PG (1,5)
22/23 1 more PG</t>
      </text>
    </comment>
    <comment authorId="0" ref="E3116">
      <text>
        <t xml:space="preserve">The budget of Effective Altruism has been moved to SASSE Sustainability</t>
      </text>
    </comment>
    <comment authorId="0" ref="E3117">
      <text>
        <t xml:space="preserve">Reduced in 18/19, since the whole amount hasn't been used and is not necessary.
23/24 Zerored and moved to 272300 4047</t>
      </text>
    </comment>
    <comment authorId="0" ref="E3118">
      <text>
        <t xml:space="preserve">Costs for arranging the lectures/events
Moved to 272000 4076
23/24 Zerored and moved to 272300 4047</t>
      </text>
    </comment>
    <comment authorId="0" ref="E3119">
      <text>
        <t xml:space="preserve">Workwear according to template.
T-shirts for 1 PL(0,5)
23/24 Zerored and moved to 272300 4047</t>
      </text>
    </comment>
    <comment authorId="0" ref="E3120">
      <text>
        <t xml:space="preserve">Food and drinks for guest lectures
Moved to 272000 4076 
</t>
      </text>
    </comment>
    <comment authorId="0" ref="E3121">
      <text>
        <t xml:space="preserve">Meetings handover according to template. 1 PL (0,5)
23/24 Zerored and moved to 272300 4047</t>
      </text>
    </comment>
    <comment authorId="0" ref="E3122">
      <text>
        <t xml:space="preserve">According to new template. 
1 PL(0,5) 3 PG (0,25)
23/24 Zerored and moved to 272300 4047</t>
      </text>
    </comment>
    <comment authorId="0" ref="E3125">
      <text>
        <t xml:space="preserve">Moved to SASSE Sustainability</t>
      </text>
    </comment>
    <comment authorId="0" ref="E3126">
      <text>
        <t xml:space="preserve">Ticket revenue 25*80SEK
22/23 based on outcome</t>
      </text>
    </comment>
    <comment authorId="0" ref="E3127">
      <text>
        <t xml:space="preserve">Mishubishu 200 000 sek
21/22 Online due to Corona.
  </t>
      </text>
    </comment>
    <comment authorId="0" ref="E3128">
      <text>
        <t xml:space="preserve">22/23 FUM; increase revenue with 15 000 taken from MISUM
23/24 Removed due to no grant</t>
      </text>
    </comment>
    <comment authorId="0" ref="E3129">
      <text>
        <t xml:space="preserve">21/22
Giftbags 150*27,5 SEK
23/24 Reduced to be in line with expectations of event scale</t>
      </text>
    </comment>
    <comment authorId="0" ref="E3130">
      <text>
        <t xml:space="preserve">Marshal costs, 11 people, full day
</t>
      </text>
    </comment>
    <comment authorId="0" ref="E3131">
      <text>
        <t xml:space="preserve">Sustainable flower bouquets 150 SEK *14 speakers/panelists/guests. 
23/24 Removed gifts to team due to no competition
</t>
      </text>
    </comment>
    <comment authorId="0" ref="E3132">
      <text>
        <t xml:space="preserve">Arrangements for decor and such for the lounge.
23/24 Cinema arrangement
</t>
      </text>
    </comment>
    <comment authorId="0" ref="E3133">
      <text>
        <t xml:space="preserve">Costs for clothes according to template, PL 550+80 , 10 PG 200 SEK
21/22 sponsored workwear this year</t>
      </text>
    </comment>
    <comment authorId="0" ref="E3134">
      <text>
        <t xml:space="preserve">22/23 Removed
</t>
      </text>
    </comment>
    <comment authorId="0" ref="E3135">
      <text>
        <t xml:space="preserve">5 lunch lecture (2 company and 3 inspirational) á 30 participants x 100kr = 15000 SEK
Fika lecture: 30 people * 40 kr = 1200 SEK
Food for company reps during the fair: 40 * 120 = 4800 SEK</t>
      </text>
    </comment>
    <comment authorId="0" ref="E3136">
      <text>
        <t xml:space="preserve">Meetings handover according to template. 1 PL á 200SEK, 10 PG á 100SEK
</t>
      </text>
    </comment>
    <comment authorId="0" ref="E3137">
      <text>
        <t xml:space="preserve">According to new template. 1 PL (1,25), 10 PG (0,75)
</t>
      </text>
    </comment>
    <comment authorId="0" ref="E3138">
      <text>
        <t xml:space="preserve">22/23 Estimate from ticket sales
</t>
      </text>
    </comment>
    <comment authorId="0" ref="E3141">
      <text>
        <t xml:space="preserve">22/23 One time costs from motion this year </t>
      </text>
    </comment>
    <comment authorId="0" ref="E3142">
      <text>
        <t xml:space="preserve">Ticket revenue for the event</t>
      </text>
    </comment>
    <comment authorId="0" ref="E3143">
      <text>
        <t xml:space="preserve">22/23 The project does not receive direct sponsorship, connected to Focus CSR 
</t>
      </text>
    </comment>
    <comment authorId="0" ref="E3144">
      <text>
        <t xml:space="preserve">Corresponds to 6071 cost for PG 11 people. </t>
      </text>
    </comment>
    <comment authorId="0" ref="E3145">
      <text>
        <t xml:space="preserve">Sponsring for the event from Misum 4076 - 272100
21/22 Only for banquet during the crisis other vice the banquet should be paid for by the sponsor revenues in 272102</t>
      </text>
    </comment>
    <comment authorId="0" ref="E3146">
      <text>
        <t xml:space="preserve">Costs related to decoration of the banquet and printing the banquet programs.</t>
      </text>
    </comment>
    <comment authorId="0" ref="E3147">
      <text>
        <t xml:space="preserve">Template cost. PL – 200 SEK.</t>
      </text>
    </comment>
    <comment authorId="0" ref="E3148">
      <text>
        <t xml:space="preserve">Includes price for hiring the external venue and the food for the participants ca. 970 SEK per
person. As it is planned, the food and the banquet must be sustainable and vegan.
23/24 Price updated</t>
      </text>
    </comment>
    <comment authorId="0" ref="E3149">
      <text>
        <t xml:space="preserve">Template costs. PL – 100 SEK.</t>
      </text>
    </comment>
    <comment authorId="0" ref="E3150">
      <text>
        <t xml:space="preserve">Template costs. PL – 300 SEK PG 150 SEK * 2 people.</t>
      </text>
    </comment>
    <comment authorId="0" ref="E3157">
      <text>
        <t xml:space="preserve">6000 SEK from the SSG Fund</t>
      </text>
    </comment>
    <comment authorId="0" ref="E3158">
      <text>
        <t xml:space="preserve">3 events, 150 sek in gift per event
The costs are taken from 4047 (272100)</t>
      </text>
    </comment>
    <comment authorId="0" ref="E3159">
      <text>
        <t xml:space="preserve">2 PL (0,5) 2 PG (0,25)</t>
      </text>
    </comment>
    <comment authorId="0" ref="E3160">
      <text>
        <t xml:space="preserve">3 events, food and drinks 35*85 SEK á event.
</t>
      </text>
    </comment>
    <comment authorId="0" ref="E3161">
      <text>
        <t xml:space="preserve">2 PL (0,5) 2 PG (0,25)</t>
      </text>
    </comment>
    <comment authorId="0" ref="E3167">
      <text>
        <t xml:space="preserve">Gifts 200 SEK
The costs are taken from 4047 (272100)</t>
      </text>
    </comment>
    <comment authorId="0" ref="E3169">
      <text>
        <t xml:space="preserve">Food and drinks 17500 SEK
The costs are taken from 4047 (272100)</t>
      </text>
    </comment>
    <comment authorId="0" ref="E3175">
      <text>
        <t xml:space="preserve">90 pers x 100 kr
Tickets for the fashion show.
</t>
      </text>
    </comment>
    <comment authorId="0" ref="E3176">
      <text>
        <t xml:space="preserve">The costs are taken from 4047 (272100)
Costs are estimated with no sponsoring, taken from previous two years and adjusted to price differences. 
Glasses and supplies for mingle part 1200 SEK
Consumables and table sheets 1200 SEK</t>
      </text>
    </comment>
    <comment authorId="0" ref="E3177">
      <text>
        <t xml:space="preserve">Marshall costs for models (10), SSG Board (5), photographers (2) and project members (9) during the event.
1 full day for SSG board (5) and project group (9) for preparing everything for the event
1 half day for models (10) and photographers (2)
14*100+12*40</t>
      </text>
    </comment>
    <comment authorId="0" ref="E3178">
      <text>
        <t xml:space="preserve">Gifts for 2 lectures + 1 Panel Discussion + Fashion Show Guests
The costs are taken from 4047 (272100)</t>
      </text>
    </comment>
    <comment authorId="0" ref="E3179">
      <text>
        <t xml:space="preserve">Estimation for costs associated with building the runway: podium, scene, sound &amp; light, backdrops, etc.
Costs are estimated with no sponsoring, taken from previous two years and adjusted to price differences
6000 SEK Rump Walk
2000 SEK Lights &amp; Sound
2000 SEK Other construction details
The costs are taken from 4047 (272100)</t>
      </text>
    </comment>
    <comment authorId="0" ref="E3180">
      <text>
        <t xml:space="preserve">Workwear for the project group, 200 SEK * 9
9 project group members</t>
      </text>
    </comment>
    <comment authorId="0" ref="E3181">
      <text>
        <t xml:space="preserve">Printing of marketing. No roll-up for this project. 500 SEK
The costs are taken from 4047 (272100)</t>
      </text>
    </comment>
    <comment authorId="0" ref="E3182">
      <text>
        <t xml:space="preserve">4 glasses per bottle (≈150 people x 2 / 4 bottles) = 75 bottles  (9 PG, 5 SSG Board, 2 Photographers, 10 models, 90 guests, 20 guests from companies, researchers, designers, 15 tickers to eventual sponsors, 2 tickets for marketing campaign). 
(75 bottles x 69 kr)= 5175kr
Lighter snack for mingle = 2000 kr.
The costs are taken from 4047 (272100)</t>
      </text>
    </comment>
    <comment authorId="0" ref="E3183">
      <text>
        <t xml:space="preserve">5500 SEK
Decorations for the Fashion Show (flowers, fabrics, mat, etc.)
The costs are taken from 4047 (272100)</t>
      </text>
    </comment>
    <comment authorId="0" ref="E3184">
      <text>
        <t xml:space="preserve">Handover meetings for the project group with successor and predecessor to encourage a smooth transition. Meetings handover according to template. 1 PL (0,75), 8 PG (0,5).
Handover meetings for the project group 9x100=900.</t>
      </text>
    </comment>
    <comment authorId="0" ref="E3185">
      <text>
        <t xml:space="preserve">Costs associated with meetings and gatherings with the project group. According to new template 18/19. 1 PL (0,75), 8 PG (0,5)
Internal meetings for the project group 300+8x200</t>
      </text>
    </comment>
    <comment authorId="0" ref="E3186">
      <text>
        <t xml:space="preserve">Fees connected to the tickets. The initial plan to avoid or minimise fee though alternative methods. 
900*10 = 900 SEK
The costs are taken from 4047 (272100)</t>
      </text>
    </comment>
    <comment authorId="0" ref="E3195">
      <text>
        <t xml:space="preserve">Grant, corresponds to 302100 4010.
Removed prel 22/23</t>
      </text>
    </comment>
    <comment authorId="0" ref="E3196">
      <text>
        <t xml:space="preserve">Cost associated with recruitrments, budgeted for three(PG, RPM and nightie) 3000 SEK
30000 SEK corresponds to 3020
Removed 22/23
</t>
      </text>
    </comment>
    <comment authorId="0" ref="E3197">
      <text>
        <t xml:space="preserve">Gifts to the committee of the Nobel foundation(7) and gifts to our sponsors(50)
22/23: Wheel of fortune for Nightcappers of the month 10000 SEK</t>
      </text>
    </comment>
    <comment authorId="0" ref="E3198">
      <text>
        <t xml:space="preserve">Participation in the Bachelor and Master introduction. According to template.</t>
      </text>
    </comment>
    <comment authorId="0" ref="E3199">
      <text>
        <t xml:space="preserve">For handovers and internal culture 20% of internal meetings (4190)</t>
      </text>
    </comment>
    <comment authorId="0" ref="E3200">
      <text>
        <t xml:space="preserve">According to template 20/21</t>
      </text>
    </comment>
    <comment authorId="0" ref="E3201">
      <text>
        <t xml:space="preserve">2 Generals(2,75), 8 committee members(2,25), 32 Project group(1,75), 85 Room and Process Managers(1,25), 200 nighties(0,5)
All above 1,5 SASSE merits 530 SEK for hoodie and medels 80 SEK. All above 0,5 180 SEK for a t-shirt</t>
      </text>
    </comment>
    <comment authorId="0" ref="E3202">
      <text>
        <t xml:space="preserve">Printing of tickets, posters and SNNC broschyr
Based on 2018 year's outcome</t>
      </text>
    </comment>
    <comment authorId="0" ref="E3203">
      <text>
        <t xml:space="preserve">Moved to 5420
</t>
      </text>
    </comment>
    <comment authorId="0" ref="E3204">
      <text>
        <t xml:space="preserve">Meetings with predecessors, e.g. patetmiddagar
According to template 20/21</t>
      </text>
    </comment>
    <comment authorId="0" ref="E3205">
      <text>
        <t xml:space="preserve">2 Generals (2,75), 8 committee (2,25), Not according to template because of SNNC's special situation. 
Prel 22/23 - 32 PG's (1,75)
Handover with previous committees. According to template</t>
      </text>
    </comment>
    <comment authorId="0" ref="E3206">
      <text>
        <t xml:space="preserve">2 Generals (2,75), 8 committee (2,25), 32 PG (1,75), 85 RPM (1,25)
10*800+27*600+78*500 According template and Exchange merits.</t>
      </text>
    </comment>
    <comment authorId="0" ref="E3207">
      <text>
        <t xml:space="preserve">Moved to 112001</t>
      </text>
    </comment>
    <comment authorId="0" ref="E3208">
      <text>
        <t xml:space="preserve">Cost for website (domänkostnad) and management tool 3000 SEK
The license cost plus additional cost for Linkedin Sales Navigator for CR Manager (9900 SEK), new cost 22/23
22/23 DEf. Cost divided between Linkedin and HubSpot 
External and internal marketing, for recruitment and coverage.(5000 SEK) like photoshop, canva and adobe etc.
</t>
      </text>
    </comment>
    <comment authorId="0" ref="E3209">
      <text>
        <t xml:space="preserve">Moved to 302101</t>
      </text>
    </comment>
    <comment authorId="0" ref="E3210">
      <text>
        <t xml:space="preserve">Dignitärsmiddag for the committee with ASNNC at a cost of  300SEK/person
22/23 Added cost for SNNC Committee to visit the GA ball in Lund for learning (Like 2018 budget)
2200 SEK per person for train tickets, hostel and tickets for GA  
2200 * 10 
 </t>
      </text>
    </comment>
    <comment authorId="0" ref="E3211">
      <text>
        <t xml:space="preserve">Removed</t>
      </text>
    </comment>
    <comment authorId="0" ref="E3212">
      <text>
        <t xml:space="preserve">Invitations, tickets etc. Hopefully this will be sponsored.
Based on 2018 year's budget</t>
      </text>
    </comment>
    <comment authorId="0" ref="E3213">
      <text>
        <t xml:space="preserve">Moved to 302101</t>
      </text>
    </comment>
    <comment authorId="0" ref="E3217">
      <text>
        <t xml:space="preserve">Guests: 1386 ppl
Staff: 305 ppl
Total: 1691 ppl
Pricing model:
Ordinary price: 1100 guests at the price of 1049 SEK per ticket
Alumni price: 200 guests at the price of 1499 SEK per ticket
Company price: 86 guests at the price of 2099 SEK per ticket
22/23 Price increase 
Revise number of people in September</t>
      </text>
    </comment>
    <comment authorId="0" ref="E3218">
      <text>
        <t xml:space="preserve"> 22/23  Got SSE 200000  </t>
      </text>
    </comment>
    <comment authorId="0" ref="E3219">
      <text>
        <t xml:space="preserve">Platinum partner: 200 000 SEK
4 Gold Partner: 50 000 SEK
Estimating one platinum partner and four gold partners
</t>
      </text>
    </comment>
    <comment authorId="0" ref="E3220">
      <text>
        <t xml:space="preserve">22/23 Removed due to too much adminastrive work to get grant </t>
      </text>
    </comment>
    <comment authorId="0" ref="E3221">
      <text>
        <t xml:space="preserve">Generals and committee 9 full days equivilent of one and a half day according to template. Project group 14 shifts á half a day's work. RPM 9 shifts á half a day's work each. Nighties five shifts á half a day's work each.
On the tenth of december everyone will be required to work one and a half day due to the big night.
Number of members:
Generals + committee: 10
PG: 32
RPM: 78
Nighties: 200
According to template 20/21</t>
      </text>
    </comment>
    <comment authorId="0" ref="E3222">
      <text>
        <t xml:space="preserve">To cover for unexcpected costs associated to the event.
Moved from 302100-4803
22/23 Count to use SSE Grant here 
+ 200.000
fum -16 000</t>
      </text>
    </comment>
    <comment authorId="0" ref="E3223">
      <text>
        <t xml:space="preserve">To cover the costs associated with the food, drinks and service related to the two earlier mentioned areas.
Based on outcome earlier years + index:
Food: 120 000 SEK
Drinks: 110 000 SEK
Supplies and porsline:110 000 SEK
</t>
      </text>
    </comment>
    <comment authorId="0" ref="E3224">
      <text>
        <t xml:space="preserve">Cost associated to entertainment, based on last years
</t>
      </text>
    </comment>
    <comment authorId="0" ref="E3225">
      <text>
        <t xml:space="preserve">Decorations associated with the event.
Look over in def 22/23 due to higher prices than 4 years ago 
Moved from 302101-4047
22/23 + 40.000 </t>
      </text>
    </comment>
    <comment authorId="0" ref="E3226">
      <text>
        <t xml:space="preserve">Professional cleaning after the party.</t>
      </text>
    </comment>
    <comment authorId="0" ref="E3227">
      <text>
        <t xml:space="preserve">To cover costs associated with renting stages, tents, fences, sound, lightning, communications equipment
Based on last year's outcome + higher prices due to inflation
Moved from 302101-4047
22/23 Added cost for "sick room" and medicine supplies due to Nobel Foundation regulations 
10.000SEK 
+20 000
fum + 9000 fences</t>
      </text>
    </comment>
    <comment authorId="0" ref="E3228">
      <text>
        <t xml:space="preserve">To cover costs for nessecary transportations during the construction week, transportation of guests from the City hall</t>
      </text>
    </comment>
    <comment authorId="0" ref="E3229">
      <text>
        <t xml:space="preserve">According to outcome but adjusted for increase in guard salaries</t>
      </text>
    </comment>
    <comment authorId="0" ref="E3230">
      <text>
        <t xml:space="preserve">Costs associated with extended permitt, permitt for use of Observatorielunden and Sveavägen
Based on last year's outcome </t>
      </text>
    </comment>
    <comment authorId="0" ref="E3234">
      <text>
        <t xml:space="preserve">200 SEK per person and we estimate 250 people form the project will attend which is in line with 2018 year's outcome</t>
      </text>
    </comment>
    <comment authorId="0" ref="E3235">
      <text>
        <t xml:space="preserve">Bar sales with 90% markup</t>
      </text>
    </comment>
    <comment authorId="0" ref="E3236">
      <text>
        <t xml:space="preserve">Purchase alcohol for bar sales</t>
      </text>
    </comment>
    <comment authorId="0" ref="E3237">
      <text>
        <t xml:space="preserve">20 people working full day
According to termplate 20/21</t>
      </text>
    </comment>
    <comment authorId="0" ref="E3238">
      <text>
        <t xml:space="preserve">Costs for decorations etc. </t>
      </text>
    </comment>
    <comment authorId="0" ref="E3239">
      <text>
        <t xml:space="preserve">250 people dinner(150 SEK) and drinks to dinner(60 SEK)</t>
      </text>
    </comment>
    <comment authorId="0" ref="E3240">
      <text>
        <t xml:space="preserve">Cleaning for the use of Stora Salen</t>
      </text>
    </comment>
    <comment authorId="0" ref="E3241">
      <text>
        <t xml:space="preserve">2 Guards during dinner and after part (9 hours), 1 guard during after party(5 hours). 
According to guard cost 22/23</t>
      </text>
    </comment>
    <comment authorId="0" ref="E3242">
      <text>
        <t xml:space="preserve">Transaction fees connected to ticket sales. Updated to Nortic</t>
      </text>
    </comment>
    <comment authorId="0" ref="E3246">
      <text>
        <t xml:space="preserve">Ticket sales 42 ppl à 350 SEK </t>
      </text>
    </comment>
    <comment authorId="0" ref="E3247">
      <text>
        <t xml:space="preserve">Food &amp; Drinks purchases 42ppl à 400 SEK (2 days of food and drinks)</t>
      </text>
    </comment>
    <comment authorId="0" ref="E3248">
      <text>
        <t xml:space="preserve">Cost for bus back and forward.</t>
      </text>
    </comment>
    <comment authorId="0" ref="E3249">
      <text>
        <t xml:space="preserve">Venue Hire for an external location. </t>
      </text>
    </comment>
    <comment authorId="0" ref="E3250">
      <text>
        <t xml:space="preserve">Transactions fees for Nortic</t>
      </text>
    </comment>
    <comment authorId="0" ref="E3254">
      <text>
        <t xml:space="preserve">Estimatting 100 people attending and each ticket costing 120 SEK</t>
      </text>
    </comment>
    <comment authorId="0" ref="E3255">
      <text>
        <t xml:space="preserve">Alcohol for bar sales</t>
      </text>
    </comment>
    <comment authorId="0" ref="E3256">
      <text>
        <t xml:space="preserve">Purchase alcohol for bar sales</t>
      </text>
    </comment>
    <comment authorId="0" ref="E3257">
      <text>
        <t xml:space="preserve">10 people working a half day(40 SEK)</t>
      </text>
    </comment>
    <comment authorId="0" ref="E3258">
      <text>
        <t xml:space="preserve">Cost of food and drinks to 100 people and where we estimate it to cost 100 SEK/person</t>
      </text>
    </comment>
    <comment authorId="0" ref="E3259">
      <text>
        <t xml:space="preserve">Decoration during the Kick off. 
Estimation of costs based on similar projects</t>
      </text>
    </comment>
    <comment authorId="0" ref="E3260">
      <text>
        <t xml:space="preserve">2 guards working 6 hours at a cost of 512,5 SEK/hour
Accoring to guard price 20/21</t>
      </text>
    </comment>
    <comment authorId="0" ref="E3261">
      <text>
        <t xml:space="preserve">Transactions fees for Nortic</t>
      </text>
    </comment>
    <comment authorId="0" ref="E3265">
      <text>
        <t xml:space="preserve">Estimating 250 people attending and each ticket costing 100 SEK</t>
      </text>
    </comment>
    <comment authorId="0" ref="E3266">
      <text>
        <t xml:space="preserve">10 people working a half day(40 SEK)</t>
      </text>
    </comment>
    <comment authorId="0" ref="E3267">
      <text>
        <t xml:space="preserve">Diploma certifying their participation + pin for participation á 2000 SEK</t>
      </text>
    </comment>
    <comment authorId="0" ref="E3268">
      <text>
        <t xml:space="preserve">Cost of food and drinks to 250 people and where we estimate it to cost 150 SEK/person</t>
      </text>
    </comment>
    <comment authorId="0" ref="E3269">
      <text>
        <t xml:space="preserve">Decoration during the Kick out. 
Estimation of costs based on similar projects</t>
      </text>
    </comment>
    <comment authorId="0" ref="E3270">
      <text>
        <t xml:space="preserve">2 guards working 6 hours at a cost of 512,5 SEK/hour
Accoring to guard price 20/21</t>
      </text>
    </comment>
    <comment authorId="0" ref="E3271">
      <text>
        <t xml:space="preserve">Transactions fees for Nortic</t>
      </text>
    </comment>
    <comment authorId="0" ref="E3282">
      <text>
        <t xml:space="preserve">Internal meetings of the president (550) and 14 board members (7*275 (2*presidium + 2 * Program coordinators, 2*head of US trip, 1*head of marketing)+ 7 Event Committee</t>
      </text>
    </comment>
    <comment authorId="0" ref="E3283">
      <text>
        <t xml:space="preserve">Food &amp; drinks for 10 seminars á 55 attendees (55*35*5 = 19 250 SEK)</t>
      </text>
    </comment>
    <comment authorId="0" ref="E3287">
      <text>
        <t xml:space="preserve">Ticket revenue from internal events</t>
      </text>
    </comment>
    <comment authorId="0" ref="E3288">
      <text>
        <t xml:space="preserve">Cost for food and beverages for internal events</t>
      </text>
    </comment>
  </commentList>
</comments>
</file>

<file path=xl/sharedStrings.xml><?xml version="1.0" encoding="utf-8"?>
<sst xmlns="http://schemas.openxmlformats.org/spreadsheetml/2006/main" count="3537" uniqueCount="712">
  <si>
    <t>-</t>
  </si>
  <si>
    <t>Def Budget 23/24</t>
  </si>
  <si>
    <t>Revenue</t>
  </si>
  <si>
    <t>Costs</t>
  </si>
  <si>
    <t>*</t>
  </si>
  <si>
    <t>10 President</t>
  </si>
  <si>
    <t>Def 23/24</t>
  </si>
  <si>
    <t>SASSE Central</t>
  </si>
  <si>
    <t>Grants</t>
  </si>
  <si>
    <t>Jubileumsstiftelsen</t>
  </si>
  <si>
    <t>SA fee student</t>
  </si>
  <si>
    <t>SA fee Ph.D.</t>
  </si>
  <si>
    <t>Fee, Swedish Program Collaboration</t>
  </si>
  <si>
    <t xml:space="preserve">SA Fee, Exchange Students </t>
  </si>
  <si>
    <t>Arrangements</t>
  </si>
  <si>
    <t>Pensions and insurance</t>
  </si>
  <si>
    <t>Education</t>
  </si>
  <si>
    <t>SSCO-fee</t>
  </si>
  <si>
    <t>Salaries</t>
  </si>
  <si>
    <t>SUM</t>
  </si>
  <si>
    <t>RESULT</t>
  </si>
  <si>
    <t>The SASSE Board</t>
  </si>
  <si>
    <t>Ticket revenue</t>
  </si>
  <si>
    <t>Representation clothes</t>
  </si>
  <si>
    <t>Gifts</t>
  </si>
  <si>
    <t>SASSE gratitude</t>
  </si>
  <si>
    <t>Initiatives</t>
  </si>
  <si>
    <t>Workwear</t>
  </si>
  <si>
    <t>Meetings with students</t>
  </si>
  <si>
    <t>Food and drinks</t>
  </si>
  <si>
    <t>Ornaments</t>
  </si>
  <si>
    <t>Meetings - Food &amp; drinks</t>
  </si>
  <si>
    <t>Internal meetings &amp; representation</t>
  </si>
  <si>
    <t>Room Accessories</t>
  </si>
  <si>
    <t>Travel</t>
  </si>
  <si>
    <t>Representation</t>
  </si>
  <si>
    <t>Internal representation</t>
  </si>
  <si>
    <t>Contacts, SSE</t>
  </si>
  <si>
    <t>International contacts</t>
  </si>
  <si>
    <t>Board remuneration</t>
  </si>
  <si>
    <t>Employee fees</t>
  </si>
  <si>
    <t>President</t>
  </si>
  <si>
    <t>Internal arrangements</t>
  </si>
  <si>
    <t>Litterature</t>
  </si>
  <si>
    <t>Meetings - Board member</t>
  </si>
  <si>
    <t>Meetings - Handover</t>
  </si>
  <si>
    <t>Board transition</t>
  </si>
  <si>
    <t>President emeritus reunion</t>
  </si>
  <si>
    <t>Purchases</t>
  </si>
  <si>
    <t>RM central</t>
  </si>
  <si>
    <t>Utilities</t>
  </si>
  <si>
    <t>101506</t>
  </si>
  <si>
    <t>Exchange 2015</t>
  </si>
  <si>
    <t xml:space="preserve">Nordic Forum </t>
  </si>
  <si>
    <t>Sponsorship Revenue</t>
  </si>
  <si>
    <t>Internal ticket revenue</t>
  </si>
  <si>
    <t>Venue Hire</t>
  </si>
  <si>
    <t>Receptionist</t>
  </si>
  <si>
    <t>Other staff expenses</t>
  </si>
  <si>
    <t>Yrseln &amp; Kråset</t>
  </si>
  <si>
    <t>Purchases, drinks</t>
  </si>
  <si>
    <t>Venue hire</t>
  </si>
  <si>
    <t>SUM President</t>
  </si>
  <si>
    <t>RESULT President</t>
  </si>
  <si>
    <t>11 Vice President</t>
  </si>
  <si>
    <t>Administration and reception</t>
  </si>
  <si>
    <t>Representation Fund</t>
  </si>
  <si>
    <t>Introduction contribution</t>
  </si>
  <si>
    <t>Archiving</t>
  </si>
  <si>
    <t xml:space="preserve">Initiatives - Sustainability Fund </t>
  </si>
  <si>
    <t>Printing</t>
  </si>
  <si>
    <t>Rent, Computers</t>
  </si>
  <si>
    <t>Software and licences</t>
  </si>
  <si>
    <t>Telephone</t>
  </si>
  <si>
    <t>Postage</t>
  </si>
  <si>
    <t>Insurance</t>
  </si>
  <si>
    <t>Fees</t>
  </si>
  <si>
    <t>Premises</t>
  </si>
  <si>
    <t>Beverage Sales</t>
  </si>
  <si>
    <t>Purchases (premises)</t>
  </si>
  <si>
    <t>Purchases (Rotunda)</t>
  </si>
  <si>
    <t>Purchases (Pub)</t>
  </si>
  <si>
    <t>Purchases (cleaning)</t>
  </si>
  <si>
    <t xml:space="preserve">Trash </t>
  </si>
  <si>
    <t>Equipment</t>
  </si>
  <si>
    <t>Banking fees</t>
  </si>
  <si>
    <t>Depreciation, Buildings</t>
  </si>
  <si>
    <t>Profile Wear and Sales</t>
  </si>
  <si>
    <t>Grant</t>
  </si>
  <si>
    <t>Sales, utensils</t>
  </si>
  <si>
    <t>Stock change, utensils</t>
  </si>
  <si>
    <t>Seniorsitz</t>
  </si>
  <si>
    <t>Central Gratitude Activities</t>
  </si>
  <si>
    <t>Candidates of the SASSE Election</t>
  </si>
  <si>
    <t>Vice President</t>
  </si>
  <si>
    <t>Internal Education</t>
  </si>
  <si>
    <t>Enoksro renovation project</t>
  </si>
  <si>
    <t>Enoksro</t>
  </si>
  <si>
    <t>Marshal costs</t>
  </si>
  <si>
    <t>Rental income</t>
  </si>
  <si>
    <t>Forward invoiced cleaning</t>
  </si>
  <si>
    <t>Rental income, internal</t>
  </si>
  <si>
    <t>Electricity</t>
  </si>
  <si>
    <t>Garbage collection</t>
  </si>
  <si>
    <t>Chimney sweeping</t>
  </si>
  <si>
    <t>Other property costs</t>
  </si>
  <si>
    <t>Repair and maintenance</t>
  </si>
  <si>
    <t>Sound and light equipment</t>
  </si>
  <si>
    <t>Depreciation, Inventory</t>
  </si>
  <si>
    <t>Service sound &amp; light equipment</t>
  </si>
  <si>
    <t>THE WORLD RECORD</t>
  </si>
  <si>
    <t>Sponsorship revenue</t>
  </si>
  <si>
    <t>Jubilee Banquet</t>
  </si>
  <si>
    <t>Cleaning</t>
  </si>
  <si>
    <t>Guard salaries</t>
  </si>
  <si>
    <t>Transaction fees</t>
  </si>
  <si>
    <t>Jubilee After Party</t>
  </si>
  <si>
    <t>Bar Sales</t>
  </si>
  <si>
    <t>Purchase, drinks</t>
  </si>
  <si>
    <t>Jubilee Emeriti reunion</t>
  </si>
  <si>
    <t>Welcomeback Weekend</t>
  </si>
  <si>
    <t>Purshases, drinks</t>
  </si>
  <si>
    <t>Welcomeback Weekend Banquet</t>
  </si>
  <si>
    <t>Welcomeback Weekend After Party</t>
  </si>
  <si>
    <t>Transactions cost</t>
  </si>
  <si>
    <t>SUM WBW</t>
  </si>
  <si>
    <t>RESULT WBW</t>
  </si>
  <si>
    <t>SUM Vice President</t>
  </si>
  <si>
    <t>RESULT Vice President</t>
  </si>
  <si>
    <t>12 Treasurer</t>
  </si>
  <si>
    <t>Treasurer Central</t>
  </si>
  <si>
    <t>Interest</t>
  </si>
  <si>
    <t>Economic function</t>
  </si>
  <si>
    <t>Reminder fee</t>
  </si>
  <si>
    <t>Sofware and licenses</t>
  </si>
  <si>
    <t>Outsourced administration</t>
  </si>
  <si>
    <t>Consulting fees</t>
  </si>
  <si>
    <t>Final accounts</t>
  </si>
  <si>
    <t>SUM Treasurer</t>
  </si>
  <si>
    <t>RESULT Treasurer</t>
  </si>
  <si>
    <t>13 Sports Committee</t>
  </si>
  <si>
    <t>Central</t>
  </si>
  <si>
    <t>Support grants</t>
  </si>
  <si>
    <t>Transport</t>
  </si>
  <si>
    <t>Grants for new initiatives ("idrottslyft")</t>
  </si>
  <si>
    <t xml:space="preserve">Sports Events </t>
  </si>
  <si>
    <t>Sports and Business</t>
  </si>
  <si>
    <t>Spring tournament</t>
  </si>
  <si>
    <t xml:space="preserve">Fall tournament </t>
  </si>
  <si>
    <t>HHFF</t>
  </si>
  <si>
    <t>131805</t>
  </si>
  <si>
    <t>HHFF Ladies</t>
  </si>
  <si>
    <t>131806</t>
  </si>
  <si>
    <t>Lectures</t>
  </si>
  <si>
    <t>Super Bowl Pub</t>
  </si>
  <si>
    <t>Champions League pub</t>
  </si>
  <si>
    <t xml:space="preserve"> </t>
  </si>
  <si>
    <t>HGS Golf competition</t>
  </si>
  <si>
    <t>Master Ski Trip</t>
  </si>
  <si>
    <t>Sports Pubs</t>
  </si>
  <si>
    <t>IDU-Awards</t>
  </si>
  <si>
    <t>Awards</t>
  </si>
  <si>
    <t>Surfing Trip</t>
  </si>
  <si>
    <t>National Tournaments</t>
  </si>
  <si>
    <t>Cooperation with SSE Sports and Business research centre</t>
  </si>
  <si>
    <t>Cheerleading team</t>
  </si>
  <si>
    <t>SASSE World Cup</t>
  </si>
  <si>
    <t>SUMMA SC</t>
  </si>
  <si>
    <t>RESULT SC</t>
  </si>
  <si>
    <t>14 International Committee</t>
  </si>
  <si>
    <t>IC Central</t>
  </si>
  <si>
    <t>Project "A trip around the globe"</t>
  </si>
  <si>
    <t>Battle of Nations (moved under International week)</t>
  </si>
  <si>
    <t>The Culture Trip (Joint venture with SU)</t>
  </si>
  <si>
    <t>Nations</t>
  </si>
  <si>
    <t>Der Verein Trip</t>
  </si>
  <si>
    <t>Travels</t>
  </si>
  <si>
    <t>Lodging</t>
  </si>
  <si>
    <t>Der Verein / Oktoberfest</t>
  </si>
  <si>
    <t>Thanksgiving dinner</t>
  </si>
  <si>
    <t>SASSE SMUN</t>
  </si>
  <si>
    <t>Marketing</t>
  </si>
  <si>
    <t>EuroMUN</t>
  </si>
  <si>
    <t>Licenses</t>
  </si>
  <si>
    <t>Allowance</t>
  </si>
  <si>
    <t>The CEMS Club - central</t>
  </si>
  <si>
    <t>Global Outlook</t>
  </si>
  <si>
    <t>EUP Workshop</t>
  </si>
  <si>
    <t>Effective Alturism</t>
  </si>
  <si>
    <t>Language Coaching Program</t>
  </si>
  <si>
    <t>Corporate Sustainability Group (Previously Focus CSR)</t>
  </si>
  <si>
    <t>Fashion Project</t>
  </si>
  <si>
    <t>Corporate Asia (former Exchange Japan)</t>
  </si>
  <si>
    <t>Study visits</t>
  </si>
  <si>
    <t>Eurotour</t>
  </si>
  <si>
    <t>3 023</t>
  </si>
  <si>
    <t>Delegate fees</t>
  </si>
  <si>
    <t>3 120</t>
  </si>
  <si>
    <t>Donations</t>
  </si>
  <si>
    <t>3 011</t>
  </si>
  <si>
    <t>Sponsorships</t>
  </si>
  <si>
    <t>4 010</t>
  </si>
  <si>
    <t>Purchase, materials and supplies</t>
  </si>
  <si>
    <t>4 040</t>
  </si>
  <si>
    <t>4 063</t>
  </si>
  <si>
    <t>4 076</t>
  </si>
  <si>
    <t>4 190</t>
  </si>
  <si>
    <t>5 810</t>
  </si>
  <si>
    <t>Travel cost</t>
  </si>
  <si>
    <t>5 710</t>
  </si>
  <si>
    <t>6 991</t>
  </si>
  <si>
    <t>Oktoberfest</t>
  </si>
  <si>
    <t>Internal Ticket revenue</t>
  </si>
  <si>
    <t>Pre Oktoberfest</t>
  </si>
  <si>
    <t>Pre-Pre Oktoberfest</t>
  </si>
  <si>
    <t>CSR Group</t>
  </si>
  <si>
    <t>Exchange Committee</t>
  </si>
  <si>
    <t>International Week</t>
  </si>
  <si>
    <t>Battle of Nations</t>
  </si>
  <si>
    <t>AIA</t>
  </si>
  <si>
    <t>Mitt Livs Val</t>
  </si>
  <si>
    <t>Buddy System</t>
  </si>
  <si>
    <t>Internationalisation feedback</t>
  </si>
  <si>
    <t>SUM IC</t>
  </si>
  <si>
    <t>RESULT IC</t>
  </si>
  <si>
    <t>MEDU</t>
  </si>
  <si>
    <t xml:space="preserve">Food and drinks </t>
  </si>
  <si>
    <t>Minimax</t>
  </si>
  <si>
    <t>Internal adverts</t>
  </si>
  <si>
    <t>External adverts</t>
  </si>
  <si>
    <t>Print sales</t>
  </si>
  <si>
    <t>Software and licenses</t>
  </si>
  <si>
    <t>M2 Central</t>
  </si>
  <si>
    <t>M2 Party</t>
  </si>
  <si>
    <t>Internal Ticket Revenue</t>
  </si>
  <si>
    <t>Fokus</t>
  </si>
  <si>
    <t>Photography</t>
  </si>
  <si>
    <t>Handels-TV</t>
  </si>
  <si>
    <t>SASSE:ad</t>
  </si>
  <si>
    <t>MC Courses</t>
  </si>
  <si>
    <t>TEDx</t>
  </si>
  <si>
    <t>Bar sales</t>
  </si>
  <si>
    <t>MC-day</t>
  </si>
  <si>
    <t>SASSE Podcast</t>
  </si>
  <si>
    <t>Yearbook</t>
  </si>
  <si>
    <t>Humans of SASSE</t>
  </si>
  <si>
    <t>Debate Society</t>
  </si>
  <si>
    <t xml:space="preserve">RESULT </t>
  </si>
  <si>
    <t>Communication Week</t>
  </si>
  <si>
    <t>Beerpong tournaments</t>
  </si>
  <si>
    <t>SUM MC</t>
  </si>
  <si>
    <t>RESULT MC</t>
  </si>
  <si>
    <t>Tech Committee</t>
  </si>
  <si>
    <t>Tech Committee Central</t>
  </si>
  <si>
    <t>Internal Representation</t>
  </si>
  <si>
    <t>Depreciation, SASSE Portal</t>
  </si>
  <si>
    <t>IT Security</t>
  </si>
  <si>
    <t>SASSE Website (previously SASSE Web Community)</t>
  </si>
  <si>
    <t>Server costs</t>
  </si>
  <si>
    <t>Network and IT Maintenance</t>
  </si>
  <si>
    <t>SASSE Fintech</t>
  </si>
  <si>
    <t>Outsourcing</t>
  </si>
  <si>
    <t>Project: Website</t>
  </si>
  <si>
    <t>Business &amp; tech</t>
  </si>
  <si>
    <t>IT infrastructure</t>
  </si>
  <si>
    <t>Data communication</t>
  </si>
  <si>
    <t>Digital Asset Society</t>
  </si>
  <si>
    <t>SASSE AI</t>
  </si>
  <si>
    <t>De-code Project</t>
  </si>
  <si>
    <t>xTech</t>
  </si>
  <si>
    <t>Tech Days</t>
  </si>
  <si>
    <t>Arrangement</t>
  </si>
  <si>
    <t>Print</t>
  </si>
  <si>
    <t>Food and drink</t>
  </si>
  <si>
    <t>Sustainable Technology</t>
  </si>
  <si>
    <t>Meetings - handover</t>
  </si>
  <si>
    <t>SUM TC</t>
  </si>
  <si>
    <t>RESULT TC</t>
  </si>
  <si>
    <t>Business Committee</t>
  </si>
  <si>
    <t>Penalty fees</t>
  </si>
  <si>
    <t>Corporate contacts</t>
  </si>
  <si>
    <t>Food &amp; drinks</t>
  </si>
  <si>
    <t>Kårföretagsdagen</t>
  </si>
  <si>
    <t>Karriärvalsveckan</t>
  </si>
  <si>
    <t>Full Time och TIPC-katalogerna</t>
  </si>
  <si>
    <t>London Investment Banking Week</t>
  </si>
  <si>
    <t>Venure Hire</t>
  </si>
  <si>
    <t>WOMEN'S FINANCE DAY</t>
  </si>
  <si>
    <t>Women's Finance Day Fair</t>
  </si>
  <si>
    <t xml:space="preserve">Arrangements </t>
  </si>
  <si>
    <t>Women's Finance Day Banquet</t>
  </si>
  <si>
    <t>Women's Finance Day After party</t>
  </si>
  <si>
    <t>TOTAL WFD</t>
  </si>
  <si>
    <t>RESULT WFD</t>
  </si>
  <si>
    <t>Women's Finance Network</t>
  </si>
  <si>
    <t>Innovation Day</t>
  </si>
  <si>
    <t>Innovation Day Evening Event</t>
  </si>
  <si>
    <t>BC Case Competition</t>
  </si>
  <si>
    <t>Stockholm Student Investment Fund</t>
  </si>
  <si>
    <t>Focus on finance</t>
  </si>
  <si>
    <t>ENTREPRENEURSHIP SOCIETY</t>
  </si>
  <si>
    <t>Entrepreneurship Society Central</t>
  </si>
  <si>
    <t>Entrepreneurship Society Hackaton</t>
  </si>
  <si>
    <t>Venue</t>
  </si>
  <si>
    <t>Entrepreneurship Society Initiate</t>
  </si>
  <si>
    <t>Entrepreneurship Society Guldräven</t>
  </si>
  <si>
    <t>Entrepreneurship Society Guldräven Fair</t>
  </si>
  <si>
    <t>Entrepreneurial Spring Week</t>
  </si>
  <si>
    <t xml:space="preserve">Arrangemnets </t>
  </si>
  <si>
    <t>SUM ENTREPRENEURSHIP SOCIETY</t>
  </si>
  <si>
    <t>RESULT ENTREPRENEURSHIP SOCIETY</t>
  </si>
  <si>
    <t>Retaildagen</t>
  </si>
  <si>
    <t xml:space="preserve">BC Inspiration </t>
  </si>
  <si>
    <t>Women's Network</t>
  </si>
  <si>
    <t>CEMS Nordic Forum</t>
  </si>
  <si>
    <t>Consulting Society</t>
  </si>
  <si>
    <t>Economics Society</t>
  </si>
  <si>
    <t>CEMS-Club</t>
  </si>
  <si>
    <t>BC Assessment Day</t>
  </si>
  <si>
    <t>Återträff NU-Reunion</t>
  </si>
  <si>
    <t>BC Inspiration</t>
  </si>
  <si>
    <t>Frankfurt Finance Week</t>
  </si>
  <si>
    <t>Company club</t>
  </si>
  <si>
    <t>VC/PE Club</t>
  </si>
  <si>
    <t>SUM BC</t>
  </si>
  <si>
    <t>RESULT BC</t>
  </si>
  <si>
    <t>18 Social Committee</t>
  </si>
  <si>
    <t>SC Central</t>
  </si>
  <si>
    <t>Entertainment</t>
  </si>
  <si>
    <t>SU Emeritus Dinner</t>
  </si>
  <si>
    <t>18 Social Branch (Socialmästeriet)</t>
  </si>
  <si>
    <t>Socialmästeriet central</t>
  </si>
  <si>
    <t>Student Health Group</t>
  </si>
  <si>
    <t>Mindful Mondays</t>
  </si>
  <si>
    <t>Inspiration Week</t>
  </si>
  <si>
    <t>SU-Lunch</t>
  </si>
  <si>
    <t>Class Dinners</t>
  </si>
  <si>
    <t>18 Culture Branch (Kulturmästeriet)</t>
  </si>
  <si>
    <t>Kulturmästeriet central</t>
  </si>
  <si>
    <t>The Culture Week</t>
  </si>
  <si>
    <t>Result</t>
  </si>
  <si>
    <t>Cultural activities</t>
  </si>
  <si>
    <t>Feminist Society</t>
  </si>
  <si>
    <t>Music Society</t>
  </si>
  <si>
    <t>HAK Society</t>
  </si>
  <si>
    <t>18 Party Branch (Festmästeriet)</t>
  </si>
  <si>
    <t>Festmästeriet central</t>
  </si>
  <si>
    <t>Hwett &amp; Etiquette Banquette &amp; Pub</t>
  </si>
  <si>
    <t>Spring event</t>
  </si>
  <si>
    <t>Mårten Gås Dinner Party (Skånepilen)</t>
  </si>
  <si>
    <t xml:space="preserve">Su Christmas party </t>
  </si>
  <si>
    <t>18 Student Branch (Studentmästeriet)</t>
  </si>
  <si>
    <t>Studentmästeriet central</t>
  </si>
  <si>
    <t xml:space="preserve">Ticket revenue </t>
  </si>
  <si>
    <t>Uppsala Banquets (Gräddgasquen)</t>
  </si>
  <si>
    <t>Guest from other universities</t>
  </si>
  <si>
    <t>Purchase drinks</t>
  </si>
  <si>
    <t>18 Master Club</t>
  </si>
  <si>
    <t>Master Club Central</t>
  </si>
  <si>
    <t>Master Club Party Spring</t>
  </si>
  <si>
    <t>Master Club Party Fall</t>
  </si>
  <si>
    <t>Neon Nights x 2</t>
  </si>
  <si>
    <t>Battle of the masters</t>
  </si>
  <si>
    <t>Purschases, drinks</t>
  </si>
  <si>
    <t>SUM Master Club</t>
  </si>
  <si>
    <t>RESULT Master Club</t>
  </si>
  <si>
    <t>18 PhD Club</t>
  </si>
  <si>
    <t>PhD Club Central</t>
  </si>
  <si>
    <t>Planferna/Oktoberfest</t>
  </si>
  <si>
    <t>Boujolais Nouveau</t>
  </si>
  <si>
    <t>SUM PhD Club</t>
  </si>
  <si>
    <t>RESULT PhD Club</t>
  </si>
  <si>
    <t>181840</t>
  </si>
  <si>
    <t>181841</t>
  </si>
  <si>
    <t>SNS</t>
  </si>
  <si>
    <t>181842</t>
  </si>
  <si>
    <t>Halvtidssittning</t>
  </si>
  <si>
    <t>181843</t>
  </si>
  <si>
    <t>Sittning på Offenciven</t>
  </si>
  <si>
    <t>181844</t>
  </si>
  <si>
    <t>Julavslutning</t>
  </si>
  <si>
    <t>181845</t>
  </si>
  <si>
    <t>Gasque</t>
  </si>
  <si>
    <t>SUM RM</t>
  </si>
  <si>
    <t>RESULT RM</t>
  </si>
  <si>
    <t>18 The Småtting Introduction</t>
  </si>
  <si>
    <t>Småttingintroduktion central</t>
  </si>
  <si>
    <t>Folkuniversitet Grants</t>
  </si>
  <si>
    <t>Småttingintroduktion RM</t>
  </si>
  <si>
    <t>The Introduction Week</t>
  </si>
  <si>
    <t>The Småtting Trip</t>
  </si>
  <si>
    <t>SUM Småttingintro</t>
  </si>
  <si>
    <t>RESULT Småttingintro</t>
  </si>
  <si>
    <t>18 The Master Introduction</t>
  </si>
  <si>
    <t>The Master Introduction central</t>
  </si>
  <si>
    <t>Master Introduction Week</t>
  </si>
  <si>
    <t>Master welcoming Banquet</t>
  </si>
  <si>
    <t>Master Introduction Trip</t>
  </si>
  <si>
    <t>SUM Master intro</t>
  </si>
  <si>
    <t>RESULT Master intro</t>
  </si>
  <si>
    <t>18 Introduction guide books</t>
  </si>
  <si>
    <t>Introduction guides</t>
  </si>
  <si>
    <t>18 Associations</t>
  </si>
  <si>
    <t>Debate Tournament</t>
  </si>
  <si>
    <t>Spex Association</t>
  </si>
  <si>
    <t>SUM SU</t>
  </si>
  <si>
    <t>RESULT SU</t>
  </si>
  <si>
    <t>19 Entertainment Committee</t>
  </si>
  <si>
    <t>Master Gasque</t>
  </si>
  <si>
    <t>Master Diploma Ball (Diplomandbal Master)</t>
  </si>
  <si>
    <t>Vårpub</t>
  </si>
  <si>
    <t>Vårbrunch</t>
  </si>
  <si>
    <t>Summer Party (Sommarfest)</t>
  </si>
  <si>
    <t>Wardrobe revenue</t>
  </si>
  <si>
    <t>Introduction Pubs (Mon+Tue)</t>
  </si>
  <si>
    <t>Uppsamlingsheat</t>
  </si>
  <si>
    <t>Introduction Master pub</t>
  </si>
  <si>
    <t>Master welcomming - Afterparty</t>
  </si>
  <si>
    <t>Rebusjakten + How to attend zilliz-zilliz</t>
  </si>
  <si>
    <t>How to attend a banquet-banquet</t>
  </si>
  <si>
    <t>How to attend a zilliz-zilliz</t>
  </si>
  <si>
    <t>IFS (Master Gasque After Party)</t>
  </si>
  <si>
    <t>Gasquen</t>
  </si>
  <si>
    <t>Gasquezilliz</t>
  </si>
  <si>
    <t>Bachelor Diploma Ball (Diplomandbal)</t>
  </si>
  <si>
    <t>Halloween Pub</t>
  </si>
  <si>
    <t>The Skipub</t>
  </si>
  <si>
    <t>Småtting Farce (Småttingspex)</t>
  </si>
  <si>
    <t>Election Pub (Valpub)</t>
  </si>
  <si>
    <t>Christmas Event</t>
  </si>
  <si>
    <t>Christmas Ball After Party (Julfest)</t>
  </si>
  <si>
    <t>EST</t>
  </si>
  <si>
    <t>Master Initiative 1 - Mini Gasque and After-party</t>
  </si>
  <si>
    <t>Master Initiative 2</t>
  </si>
  <si>
    <t>Roast</t>
  </si>
  <si>
    <t>Re-Party (Omfesten) + Roast</t>
  </si>
  <si>
    <t>Anniversary Feast (Årsfest sittning)</t>
  </si>
  <si>
    <t>Anniversary After Party (Årsfest eftersläpp)</t>
  </si>
  <si>
    <t>Anniversary zilliz (Årsfestzilliz)</t>
  </si>
  <si>
    <t>Parties (GB's)</t>
  </si>
  <si>
    <t>Taxes</t>
  </si>
  <si>
    <t>Türné</t>
  </si>
  <si>
    <t>After School Pubs</t>
  </si>
  <si>
    <t>Ticker revenue</t>
  </si>
  <si>
    <t>Kvalborgvårsitz</t>
  </si>
  <si>
    <t>PU kick-off weekend</t>
  </si>
  <si>
    <t>SUM EC</t>
  </si>
  <si>
    <t>RESULT EC</t>
  </si>
  <si>
    <t>28 Spritis</t>
  </si>
  <si>
    <t>Internal beverage sales</t>
  </si>
  <si>
    <t>External beverage sales</t>
  </si>
  <si>
    <t>282001</t>
  </si>
  <si>
    <t>Master Gasque After party</t>
  </si>
  <si>
    <t>Stock change</t>
  </si>
  <si>
    <t>282002</t>
  </si>
  <si>
    <t>Master Diploma Prom</t>
  </si>
  <si>
    <t>282003</t>
  </si>
  <si>
    <t>282004</t>
  </si>
  <si>
    <t>282005</t>
  </si>
  <si>
    <t>Introduction Pubs (Intropubs+Uppsamlingsheat+Masterpub)</t>
  </si>
  <si>
    <t>282006</t>
  </si>
  <si>
    <t>Rebusjakten</t>
  </si>
  <si>
    <t>282007</t>
  </si>
  <si>
    <t>IFS</t>
  </si>
  <si>
    <t>SUMMA</t>
  </si>
  <si>
    <t>282008</t>
  </si>
  <si>
    <t>282009</t>
  </si>
  <si>
    <t>Diploma Prom (Diplomandbal)</t>
  </si>
  <si>
    <t>282010</t>
  </si>
  <si>
    <t>Halloweenpub</t>
  </si>
  <si>
    <t>282011</t>
  </si>
  <si>
    <t>Skidpub</t>
  </si>
  <si>
    <t>282012</t>
  </si>
  <si>
    <t>282013</t>
  </si>
  <si>
    <t>282014</t>
  </si>
  <si>
    <t>Christmas Party (Julfest)</t>
  </si>
  <si>
    <t>282015</t>
  </si>
  <si>
    <t>After Exam Pub</t>
  </si>
  <si>
    <t>282017</t>
  </si>
  <si>
    <t>Msc Initiative</t>
  </si>
  <si>
    <t>Omfest+Roast</t>
  </si>
  <si>
    <t>282018</t>
  </si>
  <si>
    <t>282019</t>
  </si>
  <si>
    <t>SUM Spritis</t>
  </si>
  <si>
    <t>RESULT Spritis</t>
  </si>
  <si>
    <t>20 Education Committee</t>
  </si>
  <si>
    <t>EduC Central</t>
  </si>
  <si>
    <t>Food &amp; Drinks</t>
  </si>
  <si>
    <t>Educational Coverage</t>
  </si>
  <si>
    <t>Government grants</t>
  </si>
  <si>
    <t>Teacher of the Year (ex Last Lecture)</t>
  </si>
  <si>
    <t>National Championship in Economics</t>
  </si>
  <si>
    <t>Pimp my Grades</t>
  </si>
  <si>
    <t>SASSE Alumni Mentorship Program</t>
  </si>
  <si>
    <t>Tutor Center</t>
  </si>
  <si>
    <t>Master Representatives</t>
  </si>
  <si>
    <t>Ph.D. Club</t>
  </si>
  <si>
    <t>Art Division</t>
  </si>
  <si>
    <t>Exhibitions &amp; Art talks</t>
  </si>
  <si>
    <t>Research based projects</t>
  </si>
  <si>
    <t>Total SUM</t>
  </si>
  <si>
    <t>SASSE Discussion Forum</t>
  </si>
  <si>
    <t>SSE Pubs</t>
  </si>
  <si>
    <t>Future of SSE</t>
  </si>
  <si>
    <t>Focus groups</t>
  </si>
  <si>
    <t>U9 Konferens 2023</t>
  </si>
  <si>
    <t>Accommodation</t>
  </si>
  <si>
    <t>U9 Reunion 2023</t>
  </si>
  <si>
    <t>Marschal costs</t>
  </si>
  <si>
    <t>SUM EduC</t>
  </si>
  <si>
    <t>RESULT EduC</t>
  </si>
  <si>
    <t>21 SASSE Council</t>
  </si>
  <si>
    <t>FUM</t>
  </si>
  <si>
    <t>Equality Group</t>
  </si>
  <si>
    <t>Equality Week</t>
  </si>
  <si>
    <t>Election Committee</t>
  </si>
  <si>
    <t>Internal auditors</t>
  </si>
  <si>
    <t>Safety Representative</t>
  </si>
  <si>
    <t>Student Council Festivities</t>
  </si>
  <si>
    <t>The Student Association Meeting (Kårmöte)</t>
  </si>
  <si>
    <t>Femenist Society</t>
  </si>
  <si>
    <t xml:space="preserve">Sustainability Representative </t>
  </si>
  <si>
    <t>SUMMA TOTALT</t>
  </si>
  <si>
    <t>RESULTAT</t>
  </si>
  <si>
    <t>24 Handelsdagarna</t>
  </si>
  <si>
    <t>HD Central</t>
  </si>
  <si>
    <t>Fair</t>
  </si>
  <si>
    <t>Inspirational lectures &amp; Interview Sessions</t>
  </si>
  <si>
    <t>Banquet</t>
  </si>
  <si>
    <t>After Party</t>
  </si>
  <si>
    <t>Communication / Marketing</t>
  </si>
  <si>
    <t>External Adverts</t>
  </si>
  <si>
    <t>Handelsdagarna Weekend</t>
  </si>
  <si>
    <t>HD Hosts</t>
  </si>
  <si>
    <t xml:space="preserve">Company Events </t>
  </si>
  <si>
    <t>Changes due to new budget format</t>
  </si>
  <si>
    <t>SUM TOTAL</t>
  </si>
  <si>
    <t>PROFIT</t>
  </si>
  <si>
    <t>MARGIN</t>
  </si>
  <si>
    <t xml:space="preserve">25 Spexet </t>
  </si>
  <si>
    <t xml:space="preserve">Spexet central </t>
  </si>
  <si>
    <t xml:space="preserve">Salaries </t>
  </si>
  <si>
    <t>Dinner</t>
  </si>
  <si>
    <t>Spex Weekend</t>
  </si>
  <si>
    <t>Spex Visit to KTH</t>
  </si>
  <si>
    <t>Rehearsal weekend at Enoksro</t>
  </si>
  <si>
    <t>SUM Spexet</t>
  </si>
  <si>
    <t>RESULT Spexet</t>
  </si>
  <si>
    <t>26 Friedmans</t>
  </si>
  <si>
    <t>Friedmans central</t>
  </si>
  <si>
    <t>Performances, concerts</t>
  </si>
  <si>
    <t>Choire activities, Friedmans trip &amp; choire weekend</t>
  </si>
  <si>
    <t>SUM Friedmans</t>
  </si>
  <si>
    <t>RESULT Friedmans</t>
  </si>
  <si>
    <t>27 SASSE Sustainability Group</t>
  </si>
  <si>
    <t>Sustainability Central</t>
  </si>
  <si>
    <t>Effective Altruism</t>
  </si>
  <si>
    <t>Focus CSR</t>
  </si>
  <si>
    <t>FoF Future of Food</t>
  </si>
  <si>
    <t>Internal ticket revenues</t>
  </si>
  <si>
    <t>Meetings, handover</t>
  </si>
  <si>
    <t>Internal Meetings &amp; representation</t>
  </si>
  <si>
    <t>Transaction costs</t>
  </si>
  <si>
    <t>Sustainable Finance Club</t>
  </si>
  <si>
    <t>Sustainable Fashion Week</t>
  </si>
  <si>
    <t>Tickets</t>
  </si>
  <si>
    <t>Purchases, supplies</t>
  </si>
  <si>
    <t>Marshal Costs</t>
  </si>
  <si>
    <t>SUM SSG</t>
  </si>
  <si>
    <t>RESULT SSG</t>
  </si>
  <si>
    <t>30 Students' Nobel NightCap 2021</t>
  </si>
  <si>
    <t xml:space="preserve">SNNC Central </t>
  </si>
  <si>
    <t>Internal arrangement</t>
  </si>
  <si>
    <t>Other costs</t>
  </si>
  <si>
    <t>SNNC Party</t>
  </si>
  <si>
    <t>Guard Salaries</t>
  </si>
  <si>
    <t>SNNC Nighties Kick-Off</t>
  </si>
  <si>
    <t>SNNC Project Group Weekend</t>
  </si>
  <si>
    <t>SNNC RPM Kick Off</t>
  </si>
  <si>
    <t>SNNC Kick Out</t>
  </si>
  <si>
    <t xml:space="preserve">Gift </t>
  </si>
  <si>
    <t>SUM SNNC</t>
  </si>
  <si>
    <t>RESULT SNNC</t>
  </si>
  <si>
    <t>TOTAL MARGIN</t>
  </si>
  <si>
    <t>31 Publica</t>
  </si>
  <si>
    <t>311700</t>
  </si>
  <si>
    <t>Publica Central</t>
  </si>
  <si>
    <t>311701</t>
  </si>
  <si>
    <t>Events</t>
  </si>
  <si>
    <t>SUM Publica</t>
  </si>
  <si>
    <t>RESULT Publica</t>
  </si>
  <si>
    <t xml:space="preserve">RESULT TOTAL </t>
  </si>
  <si>
    <t>SUM Excluding SNNC (in line with ordinary years)</t>
  </si>
  <si>
    <t>RESULT Excluding SNNC (in line with ordinary years)</t>
  </si>
  <si>
    <t>Margin Excluding SNNC (in line with ordinary years)</t>
  </si>
  <si>
    <t>Depreciations</t>
  </si>
  <si>
    <t>Depreciations, %</t>
  </si>
  <si>
    <t>TOTAL MARGIN EXCLUDING DEPRECIATIONS</t>
  </si>
  <si>
    <t>TOTAL MARGIN EXCLUDING DEPRECIATIONS and SNNC</t>
  </si>
  <si>
    <t>Profit Center</t>
  </si>
  <si>
    <t xml:space="preserve">Parties </t>
  </si>
  <si>
    <t xml:space="preserve">No. of guards </t>
  </si>
  <si>
    <t>Tim/vakt</t>
  </si>
  <si>
    <t>Kostnad</t>
  </si>
  <si>
    <t>Kommentar</t>
  </si>
  <si>
    <t>Timpris per vakt</t>
  </si>
  <si>
    <t>Kostnad per radio</t>
  </si>
  <si>
    <t>Årsfesteftersläppet</t>
  </si>
  <si>
    <t>5 vakter 22:30-03:30</t>
  </si>
  <si>
    <t>Årsfest sittning</t>
  </si>
  <si>
    <t>2 vakt 18:30-03:30</t>
  </si>
  <si>
    <t>Summa</t>
  </si>
  <si>
    <t>Diplomandbalen Master</t>
  </si>
  <si>
    <t>6 vakter 23:30-05:30</t>
  </si>
  <si>
    <t>Sommarfesten</t>
  </si>
  <si>
    <t>9 vakter 20:15-05:30</t>
  </si>
  <si>
    <t>6 vakter 20:15-04:00</t>
  </si>
  <si>
    <t>Intropub1</t>
  </si>
  <si>
    <t>6 vakter 21:30-03:30</t>
  </si>
  <si>
    <t>Intropub2</t>
  </si>
  <si>
    <t>7 vakter 21:30-03:30</t>
  </si>
  <si>
    <t>Masterpub intro</t>
  </si>
  <si>
    <t>5 vakter 21:30-03:30</t>
  </si>
  <si>
    <t>HMGPSS banquet</t>
  </si>
  <si>
    <t>2 vakter 18:30-22:30</t>
  </si>
  <si>
    <t>HMGPSS after party</t>
  </si>
  <si>
    <t>7 vakter 22:30-03:30</t>
  </si>
  <si>
    <t>Sum</t>
  </si>
  <si>
    <t>HMGPZZ</t>
  </si>
  <si>
    <t>3 vakter 10:30-14:30</t>
  </si>
  <si>
    <t>2 vakter 18:30-03:30</t>
  </si>
  <si>
    <t>Gasque släpp</t>
  </si>
  <si>
    <t>Gasque Zilliz</t>
  </si>
  <si>
    <t>Julbalen</t>
  </si>
  <si>
    <t>x</t>
  </si>
  <si>
    <t>2 vakter 18:30-23:00</t>
  </si>
  <si>
    <t>Diplomandbalen BSc</t>
  </si>
  <si>
    <t>8 vakter 23:30-05:30</t>
  </si>
  <si>
    <t>2 vakter 19:30-22:30</t>
  </si>
  <si>
    <t xml:space="preserve">3 times </t>
  </si>
  <si>
    <t>6 vakter 21:00-04.30</t>
  </si>
  <si>
    <t>Totalsumma</t>
  </si>
  <si>
    <t>Assets</t>
  </si>
  <si>
    <t>Investment limit</t>
  </si>
  <si>
    <t>Depreciation period (yrs)</t>
  </si>
  <si>
    <t>Depreciation period (months)</t>
  </si>
  <si>
    <t>Project</t>
  </si>
  <si>
    <t>Depreciations 23/24</t>
  </si>
  <si>
    <t>Depreciation Period Starts</t>
  </si>
  <si>
    <t>Depreciation Period Ends</t>
  </si>
  <si>
    <t>VKO Kårlokaler</t>
  </si>
  <si>
    <t xml:space="preserve">Visma/Fortnox No. </t>
  </si>
  <si>
    <t>Visma Name</t>
  </si>
  <si>
    <t>0120</t>
  </si>
  <si>
    <t>Blippdosor Callis + Projektrum salt</t>
  </si>
  <si>
    <t>0122</t>
  </si>
  <si>
    <t>Renovering NU + vägg mot IntU</t>
  </si>
  <si>
    <t>0125</t>
  </si>
  <si>
    <t>Reparation häroldsstav</t>
  </si>
  <si>
    <t>0128</t>
  </si>
  <si>
    <t>Byggnation av förråd vid rotundan</t>
  </si>
  <si>
    <t>0134</t>
  </si>
  <si>
    <t>Diskmaskin &amp; kyl Puben</t>
  </si>
  <si>
    <t>137</t>
  </si>
  <si>
    <t>Renovering av Rotundabar 2019</t>
  </si>
  <si>
    <t>140</t>
  </si>
  <si>
    <t>Ljud &amp; Ljus Erdman</t>
  </si>
  <si>
    <t>141</t>
  </si>
  <si>
    <t>Pub Renovation 2021</t>
  </si>
  <si>
    <t>XXX</t>
  </si>
  <si>
    <t>Expen renovation</t>
  </si>
  <si>
    <t xml:space="preserve">VKO Ljud och ljus </t>
  </si>
  <si>
    <t>138</t>
  </si>
  <si>
    <t>Kolsyreinstallation Rotundan</t>
  </si>
  <si>
    <t>2019-12-01</t>
  </si>
  <si>
    <t>0129</t>
  </si>
  <si>
    <t>Ljud &amp; ljus Stora Salen</t>
  </si>
  <si>
    <t>Renovation Roti sound &amp; light 2021</t>
  </si>
  <si>
    <t>142</t>
  </si>
  <si>
    <t>Renovation Pub sound &amp; light 2021</t>
  </si>
  <si>
    <t>16 SASSE Website</t>
  </si>
  <si>
    <t>New website 2023</t>
  </si>
  <si>
    <t>16 TechU hardware</t>
  </si>
  <si>
    <t>0126</t>
  </si>
  <si>
    <t>WiFi i kårlokaler</t>
  </si>
  <si>
    <t>VKO Enoksro</t>
  </si>
  <si>
    <t>0130</t>
  </si>
  <si>
    <t>Byggnation Enoksro</t>
  </si>
  <si>
    <t>0132</t>
  </si>
  <si>
    <t>Köksmaskiner Enoksro</t>
  </si>
  <si>
    <t>0133</t>
  </si>
  <si>
    <t>Ljud &amp; ljus enoksro</t>
  </si>
  <si>
    <t>0135</t>
  </si>
  <si>
    <t>Möbler Enoksro</t>
  </si>
  <si>
    <t>136</t>
  </si>
  <si>
    <t>Friggebod och staket Enoksro</t>
  </si>
  <si>
    <t>135</t>
  </si>
  <si>
    <t>Sittningsmöbler Enoksro</t>
  </si>
  <si>
    <t>Summary</t>
  </si>
  <si>
    <t>112101</t>
  </si>
  <si>
    <t>112109</t>
  </si>
  <si>
    <t>112110</t>
  </si>
  <si>
    <t>162102</t>
  </si>
  <si>
    <t>162107</t>
  </si>
  <si>
    <t>SUM TOTAL DEPRECIATIONS 22/23</t>
  </si>
  <si>
    <t>Future investments - Predictions</t>
  </si>
  <si>
    <t>Estimated cash outflow (rough estimate)</t>
  </si>
  <si>
    <t>Year</t>
  </si>
  <si>
    <t>Rotunda heavy renovation</t>
  </si>
  <si>
    <t>2023-2024</t>
  </si>
  <si>
    <t>Kitchen renovation</t>
  </si>
  <si>
    <t>500 000</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</si>
</sst>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
    <numFmt numFmtId="165" formatCode="0.000%"/>
    <numFmt numFmtId="166" formatCode="#,##0\ &quot;kr&quot;"/>
    <numFmt numFmtId="167" formatCode="yyyy-MM-dd"/>
    <numFmt numFmtId="168" formatCode="yyyy-mm-dd"/>
  </numFmts>
  <fonts count="31">
    <font>
      <sz val="10.0"/>
      <color rgb="FF000000"/>
      <name val="Arial"/>
    </font>
    <font>
      <sz val="10.0"/>
      <name val="Garamond"/>
    </font>
    <font>
      <b/>
      <sz val="10.0"/>
      <color rgb="FF4C145E"/>
      <name val="Garamond"/>
    </font>
    <font/>
    <font>
      <b/>
      <i/>
      <sz val="10.0"/>
      <color rgb="FFFFFFFF"/>
      <name val="Garamond"/>
    </font>
    <font>
      <b/>
      <sz val="10.0"/>
      <color rgb="FF000000"/>
      <name val="Garamond"/>
    </font>
    <font>
      <b/>
      <sz val="10.0"/>
      <color rgb="FFFFFFFF"/>
      <name val="Garamond"/>
    </font>
    <font>
      <b/>
      <sz val="10.0"/>
      <name val="Garamond"/>
    </font>
    <font>
      <sz val="10.0"/>
      <color rgb="FF000000"/>
      <name val="Garamond"/>
    </font>
    <font>
      <i/>
      <sz val="10.0"/>
      <name val="Garamond"/>
    </font>
    <font>
      <sz val="10.0"/>
      <color rgb="FFFFFFFF"/>
      <name val="Garamond"/>
    </font>
    <font>
      <name val="Garamond"/>
    </font>
    <font>
      <color rgb="FF000000"/>
      <name val="Garamond"/>
    </font>
    <font>
      <name val="Arial"/>
    </font>
    <font>
      <i/>
      <sz val="10.0"/>
      <color rgb="FF000000"/>
      <name val="Garamond"/>
    </font>
    <font>
      <sz val="10.0"/>
      <color/>
      <name val="Garamond"/>
    </font>
    <font>
      <sz val="9.0"/>
      <color rgb="FF000000"/>
      <name val="Times New Roman"/>
    </font>
    <font>
      <b/>
      <i/>
      <sz val="10.0"/>
      <name val="Garamond"/>
    </font>
    <font>
      <sz val="11.0"/>
      <name val="Calibri"/>
    </font>
    <font>
      <b/>
      <name val="Garamond"/>
    </font>
    <font>
      <sz val="11.0"/>
      <name val="Garamond"/>
    </font>
    <font>
      <strike/>
      <sz val="11.0"/>
      <name val="Calibri"/>
    </font>
    <font>
      <b/>
      <sz val="12.0"/>
      <name val="Garamond"/>
    </font>
    <font>
      <b/>
      <sz val="18.0"/>
      <color rgb="FFFFFFFF"/>
      <name val="Garamond"/>
    </font>
    <font>
      <sz val="11.0"/>
      <color rgb="FFFFFFFF"/>
      <name val="Garamond"/>
    </font>
    <font>
      <b/>
      <sz val="11.0"/>
      <color rgb="FF000000"/>
      <name val="Garamond"/>
    </font>
    <font>
      <b/>
      <sz val="11.0"/>
      <name val="Garamond"/>
    </font>
    <font>
      <sz val="11.0"/>
      <color rgb="FF000000"/>
      <name val="Garamond"/>
    </font>
    <font>
      <i/>
      <sz val="11.0"/>
      <name val="Garamond"/>
    </font>
    <font>
      <sz val="14.0"/>
      <name val="Garamond"/>
    </font>
    <font>
      <b/>
      <sz val="14.0"/>
      <name val="Garamond"/>
    </font>
  </fonts>
  <fills count="24">
    <fill>
      <patternFill patternType="none"/>
    </fill>
    <fill>
      <patternFill patternType="lightGray"/>
    </fill>
    <fill>
      <patternFill patternType="solid">
        <fgColor rgb="FF4C145E"/>
        <bgColor rgb="FF4C145E"/>
      </patternFill>
    </fill>
    <fill>
      <patternFill patternType="solid">
        <fgColor rgb="FF969696"/>
        <bgColor rgb="FF969696"/>
      </patternFill>
    </fill>
    <fill>
      <patternFill patternType="solid">
        <fgColor rgb="FFCCFFCC"/>
        <bgColor rgb="FFCCFFCC"/>
      </patternFill>
    </fill>
    <fill>
      <patternFill patternType="solid">
        <fgColor rgb="FFFF99CC"/>
        <bgColor rgb="FFFF99CC"/>
      </patternFill>
    </fill>
    <fill>
      <patternFill patternType="solid">
        <fgColor rgb="FFFFFFFF"/>
        <bgColor rgb="FFFFFFFF"/>
      </patternFill>
    </fill>
    <fill>
      <patternFill patternType="solid">
        <fgColor rgb="FFA5A5A5"/>
        <bgColor rgb="FFA5A5A5"/>
      </patternFill>
    </fill>
    <fill>
      <patternFill patternType="solid">
        <fgColor rgb="FFBFBFBF"/>
        <bgColor rgb="FFBFBFBF"/>
      </patternFill>
    </fill>
    <fill>
      <patternFill patternType="solid">
        <fgColor rgb="FF7F7F7F"/>
        <bgColor rgb="FF7F7F7F"/>
      </patternFill>
    </fill>
    <fill>
      <patternFill patternType="solid">
        <fgColor rgb="FFCFFBC1"/>
        <bgColor rgb="FFCFFBC1"/>
      </patternFill>
    </fill>
    <fill>
      <patternFill patternType="solid">
        <fgColor rgb="FF999999"/>
        <bgColor rgb="FF999999"/>
      </patternFill>
    </fill>
    <fill>
      <patternFill patternType="solid">
        <fgColor rgb="FF808080"/>
        <bgColor rgb="FF808080"/>
      </patternFill>
    </fill>
    <fill>
      <patternFill patternType="solid">
        <fgColor rgb="FFC0C0C0"/>
        <bgColor rgb="FFC0C0C0"/>
      </patternFill>
    </fill>
    <fill>
      <patternFill patternType="solid">
        <fgColor rgb="FFB7B7B7"/>
        <bgColor rgb="FFB7B7B7"/>
      </patternFill>
    </fill>
    <fill>
      <patternFill patternType="solid">
        <fgColor rgb="FFFF0000"/>
        <bgColor rgb="FFFF0000"/>
      </patternFill>
    </fill>
    <fill>
      <patternFill patternType="solid">
        <fgColor rgb="FFF3F3F3"/>
        <bgColor rgb="FFF3F3F3"/>
      </patternFill>
    </fill>
    <fill>
      <patternFill patternType="solid">
        <fgColor rgb="FF666666"/>
        <bgColor rgb="FF666666"/>
      </patternFill>
    </fill>
    <fill>
      <patternFill patternType="solid">
        <fgColor rgb="FF434343"/>
        <bgColor rgb="FF434343"/>
      </patternFill>
    </fill>
    <fill>
      <patternFill patternType="solid">
        <fgColor rgb="FF00FF00"/>
        <bgColor rgb="FF00FF00"/>
      </patternFill>
    </fill>
    <fill>
      <patternFill patternType="solid">
        <fgColor rgb="FFD8D8D8"/>
        <bgColor rgb="FFD8D8D8"/>
      </patternFill>
    </fill>
    <fill>
      <patternFill patternType="solid">
        <fgColor rgb="FFEFEFEF"/>
        <bgColor rgb="FFEFEFEF"/>
      </patternFill>
    </fill>
    <fill>
      <patternFill patternType="solid">
        <fgColor rgb="FFD9EAD3"/>
        <bgColor rgb="FFD9EAD3"/>
      </patternFill>
    </fill>
    <fill>
      <patternFill patternType="solid">
        <fgColor rgb="FFE06666"/>
        <bgColor rgb="FFE06666"/>
      </patternFill>
    </fill>
  </fills>
  <borders count="37">
    <border/>
    <border>
      <left style="thick">
        <color rgb="FFCC0000"/>
      </left>
      <bottom style="thin">
        <color rgb="FF000000"/>
      </bottom>
    </border>
    <border>
      <bottom style="thin">
        <color rgb="FF000000"/>
      </bottom>
    </border>
    <border>
      <right style="thick">
        <color rgb="FFCC0000"/>
      </right>
      <bottom style="thin">
        <color rgb="FF000000"/>
      </bottom>
    </border>
    <border>
      <left style="thin">
        <color rgb="FF000000"/>
      </left>
      <right style="thin">
        <color rgb="FF000000"/>
      </right>
      <top style="thin">
        <color rgb="FF000000"/>
      </top>
      <bottom style="thin">
        <color rgb="FF000000"/>
      </bottom>
    </border>
    <border>
      <right style="thick">
        <color rgb="FFCC4125"/>
      </right>
      <bottom style="thin">
        <color rgb="FF000000"/>
      </bottom>
    </border>
    <border>
      <left style="thick">
        <color rgb="FFCC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ck">
        <color rgb="FFCC4125"/>
      </left>
      <right style="thin">
        <color rgb="FF000000"/>
      </right>
      <bottom style="thin">
        <color rgb="FF000000"/>
      </bottom>
    </border>
    <border>
      <right style="thick">
        <color rgb="FFCC0000"/>
      </right>
      <top style="thin">
        <color rgb="FF000000"/>
      </top>
      <bottom style="thin">
        <color rgb="FF000000"/>
      </bottom>
    </border>
    <border>
      <left style="thin">
        <color rgb="FF000000"/>
      </left>
      <right style="thick">
        <color rgb="FFCC0000"/>
      </right>
      <top style="thin">
        <color rgb="FF000000"/>
      </top>
      <bottom style="thin">
        <color rgb="FF000000"/>
      </bottom>
    </border>
    <border>
      <left style="thin">
        <color rgb="FF000000"/>
      </left>
      <right style="thick">
        <color rgb="FFCC0000"/>
      </right>
      <bottom style="thin">
        <color rgb="FF000000"/>
      </bottom>
    </border>
    <border>
      <right style="thin">
        <color rgb="FF000000"/>
      </right>
      <top style="thin">
        <color rgb="FF000000"/>
      </top>
      <bottom style="thin">
        <color rgb="FF000000"/>
      </bottom>
    </border>
    <border>
      <right style="thick">
        <color rgb="FFCC4125"/>
      </right>
      <top style="thin">
        <color rgb="FF000000"/>
      </top>
      <bottom style="thin">
        <color rgb="FF000000"/>
      </bottom>
    </border>
    <border>
      <left style="thin">
        <color rgb="FF000000"/>
      </left>
      <top style="thin">
        <color rgb="FF000000"/>
      </top>
      <bottom style="thin">
        <color rgb="FF000000"/>
      </bottom>
    </border>
    <border>
      <left style="thick">
        <color rgb="FFCC0000"/>
      </left>
      <right style="thin">
        <color rgb="FF000000"/>
      </right>
      <top style="thin">
        <color rgb="FF000000"/>
      </top>
      <bottom style="thin">
        <color rgb="FF000000"/>
      </bottom>
    </border>
    <border>
      <right/>
      <top style="thin">
        <color rgb="FF000000"/>
      </top>
      <bottom style="thin">
        <color rgb="FF000000"/>
      </bottom>
    </border>
    <border>
      <left style="thick">
        <color rgb="FFCC0000"/>
      </left>
      <right style="thick">
        <color rgb="FFCC0000"/>
      </right>
      <bottom style="thin">
        <color rgb="FF000000"/>
      </bottom>
    </border>
    <border>
      <left style="thin">
        <color rgb="FF000000"/>
      </left>
      <right style="thick">
        <color rgb="FFCC4125"/>
      </right>
      <top style="thin">
        <color rgb="FF000000"/>
      </top>
      <bottom style="thin">
        <color rgb="FF000000"/>
      </bottom>
    </border>
    <border>
      <left style="thin">
        <color rgb="FF000000"/>
      </left>
      <right style="thick">
        <color rgb="FFCC4125"/>
      </right>
      <bottom style="thin">
        <color rgb="FF000000"/>
      </bottom>
    </border>
    <border>
      <left style="thick">
        <color rgb="FF000000"/>
      </left>
      <right style="thin">
        <color rgb="FF000000"/>
      </right>
      <bottom style="thin">
        <color rgb="FF000000"/>
      </bottom>
    </border>
    <border>
      <top style="thin">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bottom/>
    </border>
    <border>
      <right/>
      <bottom/>
    </border>
    <border>
      <right style="medium">
        <color rgb="FF000000"/>
      </right>
      <bottom/>
    </border>
    <border>
      <right style="thin">
        <color rgb="FF000000"/>
      </right>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ck">
        <color rgb="FF000000"/>
      </left>
      <top style="thick">
        <color rgb="FF000000"/>
      </top>
      <bottom style="thick">
        <color rgb="FF000000"/>
      </bottom>
    </border>
    <border>
      <right style="thick">
        <color rgb="FF000000"/>
      </right>
      <top style="thick">
        <color rgb="FF000000"/>
      </top>
      <bottom style="thick">
        <color rgb="FF000000"/>
      </bottom>
    </border>
  </borders>
  <cellStyleXfs count="1">
    <xf borderId="0" fillId="0" fontId="0" numFmtId="0" applyAlignment="1" applyFont="1"/>
  </cellStyleXfs>
  <cellXfs count="625">
    <xf borderId="0" fillId="0" fontId="0" numFmtId="0" xfId="0" applyAlignment="1" applyFont="1">
      <alignment readingOrder="0" shrinkToFit="0" vertical="bottom" wrapText="0"/>
    </xf>
    <xf borderId="0" fillId="2" fontId="1" numFmtId="164" xfId="0" applyAlignment="1" applyFill="1" applyFont="1" applyNumberFormat="1">
      <alignment horizontal="center" readingOrder="0"/>
    </xf>
    <xf borderId="0" fillId="2" fontId="1" numFmtId="3" xfId="0" applyAlignment="1" applyFont="1" applyNumberFormat="1">
      <alignment horizontal="left"/>
    </xf>
    <xf borderId="1" fillId="2" fontId="2" numFmtId="3" xfId="0" applyAlignment="1" applyBorder="1" applyFont="1" applyNumberFormat="1">
      <alignment horizontal="center" vertical="bottom"/>
    </xf>
    <xf borderId="2" fillId="0" fontId="3" numFmtId="0" xfId="0" applyBorder="1" applyFont="1"/>
    <xf borderId="3" fillId="0" fontId="3" numFmtId="0" xfId="0" applyBorder="1" applyFont="1"/>
    <xf borderId="4" fillId="2" fontId="1" numFmtId="164" xfId="0" applyAlignment="1" applyBorder="1" applyFont="1" applyNumberFormat="1">
      <alignment horizontal="center"/>
    </xf>
    <xf borderId="4" fillId="2" fontId="1" numFmtId="3" xfId="0" applyAlignment="1" applyBorder="1" applyFont="1" applyNumberFormat="1">
      <alignment horizontal="left"/>
    </xf>
    <xf borderId="1" fillId="2" fontId="4" numFmtId="3" xfId="0" applyAlignment="1" applyBorder="1" applyFont="1" applyNumberFormat="1">
      <alignment horizontal="center" readingOrder="0" shrinkToFit="0" vertical="bottom" wrapText="1"/>
    </xf>
    <xf borderId="5" fillId="2" fontId="1" numFmtId="164" xfId="0" applyAlignment="1" applyBorder="1" applyFont="1" applyNumberFormat="1">
      <alignment horizontal="center" vertical="bottom"/>
    </xf>
    <xf borderId="4" fillId="3" fontId="1" numFmtId="164" xfId="0" applyAlignment="1" applyBorder="1" applyFill="1" applyFont="1" applyNumberFormat="1">
      <alignment horizontal="center"/>
    </xf>
    <xf borderId="4" fillId="3" fontId="1" numFmtId="3" xfId="0" applyAlignment="1" applyBorder="1" applyFont="1" applyNumberFormat="1">
      <alignment horizontal="left"/>
    </xf>
    <xf borderId="6" fillId="3" fontId="5" numFmtId="3" xfId="0" applyAlignment="1" applyBorder="1" applyFont="1" applyNumberFormat="1">
      <alignment horizontal="center" vertical="bottom"/>
    </xf>
    <xf borderId="7" fillId="3" fontId="5" numFmtId="3" xfId="0" applyAlignment="1" applyBorder="1" applyFont="1" applyNumberFormat="1">
      <alignment horizontal="center" vertical="bottom"/>
    </xf>
    <xf borderId="5" fillId="3" fontId="5" numFmtId="164" xfId="0" applyAlignment="1" applyBorder="1" applyFont="1" applyNumberFormat="1">
      <alignment horizontal="center" vertical="bottom"/>
    </xf>
    <xf borderId="4" fillId="2" fontId="6" numFmtId="3" xfId="0" applyAlignment="1" applyBorder="1" applyFont="1" applyNumberFormat="1">
      <alignment horizontal="left"/>
    </xf>
    <xf borderId="1" fillId="2" fontId="6" numFmtId="3" xfId="0" applyAlignment="1" applyBorder="1" applyFont="1" applyNumberFormat="1">
      <alignment horizontal="center" readingOrder="0" vertical="bottom"/>
    </xf>
    <xf borderId="0" fillId="3" fontId="7" numFmtId="164" xfId="0" applyAlignment="1" applyFont="1" applyNumberFormat="1">
      <alignment horizontal="center" readingOrder="0" vertical="bottom"/>
    </xf>
    <xf borderId="4" fillId="3" fontId="7" numFmtId="3" xfId="0" applyAlignment="1" applyBorder="1" applyFont="1" applyNumberFormat="1">
      <alignment vertical="bottom"/>
    </xf>
    <xf borderId="4" fillId="0" fontId="1" numFmtId="164" xfId="0" applyAlignment="1" applyBorder="1" applyFont="1" applyNumberFormat="1">
      <alignment horizontal="center" vertical="bottom"/>
    </xf>
    <xf borderId="4" fillId="0" fontId="1" numFmtId="3" xfId="0" applyAlignment="1" applyBorder="1" applyFont="1" applyNumberFormat="1">
      <alignment vertical="bottom"/>
    </xf>
    <xf borderId="6" fillId="4" fontId="8" numFmtId="3" xfId="0" applyAlignment="1" applyBorder="1" applyFill="1" applyFont="1" applyNumberFormat="1">
      <alignment horizontal="center" vertical="bottom"/>
    </xf>
    <xf borderId="7" fillId="5" fontId="8" numFmtId="3" xfId="0" applyAlignment="1" applyBorder="1" applyFill="1" applyFont="1" applyNumberFormat="1">
      <alignment horizontal="center" vertical="bottom"/>
    </xf>
    <xf borderId="5" fillId="6" fontId="8" numFmtId="164" xfId="0" applyAlignment="1" applyBorder="1" applyFill="1" applyFont="1" applyNumberFormat="1">
      <alignment horizontal="center" readingOrder="0" vertical="bottom"/>
    </xf>
    <xf borderId="5" fillId="6" fontId="8" numFmtId="164" xfId="0" applyAlignment="1" applyBorder="1" applyFont="1" applyNumberFormat="1">
      <alignment horizontal="center" vertical="bottom"/>
    </xf>
    <xf borderId="5" fillId="0" fontId="8" numFmtId="164" xfId="0" applyAlignment="1" applyBorder="1" applyFont="1" applyNumberFormat="1">
      <alignment horizontal="center" vertical="bottom"/>
    </xf>
    <xf borderId="6" fillId="4" fontId="8" numFmtId="3" xfId="0" applyAlignment="1" applyBorder="1" applyFont="1" applyNumberFormat="1">
      <alignment horizontal="center" readingOrder="0" vertical="bottom"/>
    </xf>
    <xf borderId="4" fillId="0" fontId="1" numFmtId="164" xfId="0" applyAlignment="1" applyBorder="1" applyFont="1" applyNumberFormat="1">
      <alignment horizontal="center" readingOrder="0" vertical="bottom"/>
    </xf>
    <xf borderId="4" fillId="0" fontId="1" numFmtId="3" xfId="0" applyAlignment="1" applyBorder="1" applyFont="1" applyNumberFormat="1">
      <alignment readingOrder="0" vertical="bottom"/>
    </xf>
    <xf borderId="7" fillId="5" fontId="8" numFmtId="3" xfId="0" applyAlignment="1" applyBorder="1" applyFont="1" applyNumberFormat="1">
      <alignment horizontal="center" readingOrder="0" vertical="bottom"/>
    </xf>
    <xf borderId="4" fillId="0" fontId="7" numFmtId="3" xfId="0" applyAlignment="1" applyBorder="1" applyFont="1" applyNumberFormat="1">
      <alignment vertical="bottom"/>
    </xf>
    <xf borderId="6" fillId="4" fontId="5" numFmtId="3" xfId="0" applyAlignment="1" applyBorder="1" applyFont="1" applyNumberFormat="1">
      <alignment horizontal="center" vertical="bottom"/>
    </xf>
    <xf borderId="7" fillId="5" fontId="5" numFmtId="3" xfId="0" applyAlignment="1" applyBorder="1" applyFont="1" applyNumberFormat="1">
      <alignment horizontal="center" vertical="bottom"/>
    </xf>
    <xf borderId="4" fillId="6" fontId="1" numFmtId="164" xfId="0" applyAlignment="1" applyBorder="1" applyFont="1" applyNumberFormat="1">
      <alignment vertical="bottom"/>
    </xf>
    <xf borderId="4" fillId="3" fontId="7" numFmtId="164" xfId="0" applyAlignment="1" applyBorder="1" applyFont="1" applyNumberFormat="1">
      <alignment horizontal="center" readingOrder="0" vertical="bottom"/>
    </xf>
    <xf borderId="6" fillId="3" fontId="1" numFmtId="3" xfId="0" applyAlignment="1" applyBorder="1" applyFont="1" applyNumberFormat="1">
      <alignment horizontal="center" vertical="bottom"/>
    </xf>
    <xf borderId="7" fillId="3" fontId="1" numFmtId="3" xfId="0" applyAlignment="1" applyBorder="1" applyFont="1" applyNumberFormat="1">
      <alignment vertical="bottom"/>
    </xf>
    <xf borderId="5" fillId="3" fontId="1" numFmtId="164" xfId="0" applyAlignment="1" applyBorder="1" applyFont="1" applyNumberFormat="1">
      <alignment horizontal="center" vertical="bottom"/>
    </xf>
    <xf borderId="5" fillId="0" fontId="8" numFmtId="164" xfId="0" applyAlignment="1" applyBorder="1" applyFont="1" applyNumberFormat="1">
      <alignment horizontal="center" vertical="center"/>
    </xf>
    <xf borderId="6" fillId="4" fontId="1" numFmtId="3" xfId="0" applyAlignment="1" applyBorder="1" applyFont="1" applyNumberFormat="1">
      <alignment horizontal="center" vertical="bottom"/>
    </xf>
    <xf borderId="5" fillId="6" fontId="1" numFmtId="164" xfId="0" applyAlignment="1" applyBorder="1" applyFont="1" applyNumberFormat="1">
      <alignment horizontal="center" vertical="bottom"/>
    </xf>
    <xf borderId="6" fillId="7" fontId="1" numFmtId="3" xfId="0" applyAlignment="1" applyBorder="1" applyFill="1" applyFont="1" applyNumberFormat="1">
      <alignment horizontal="center" vertical="bottom"/>
    </xf>
    <xf borderId="7" fillId="7" fontId="1" numFmtId="3" xfId="0" applyAlignment="1" applyBorder="1" applyFont="1" applyNumberFormat="1">
      <alignment vertical="bottom"/>
    </xf>
    <xf borderId="5" fillId="7" fontId="1" numFmtId="164" xfId="0" applyAlignment="1" applyBorder="1" applyFont="1" applyNumberFormat="1">
      <alignment horizontal="center" vertical="bottom"/>
    </xf>
    <xf borderId="4" fillId="6" fontId="1" numFmtId="3" xfId="0" applyAlignment="1" applyBorder="1" applyFont="1" applyNumberFormat="1">
      <alignment vertical="bottom"/>
    </xf>
    <xf borderId="5" fillId="8" fontId="1" numFmtId="164" xfId="0" applyAlignment="1" applyBorder="1" applyFill="1" applyFont="1" applyNumberFormat="1">
      <alignment horizontal="center" vertical="bottom"/>
    </xf>
    <xf borderId="4" fillId="9" fontId="7" numFmtId="3" xfId="0" applyAlignment="1" applyBorder="1" applyFill="1" applyFont="1" applyNumberFormat="1">
      <alignment vertical="bottom"/>
    </xf>
    <xf borderId="4" fillId="3" fontId="1" numFmtId="164" xfId="0" applyAlignment="1" applyBorder="1" applyFont="1" applyNumberFormat="1">
      <alignment horizontal="center" vertical="bottom"/>
    </xf>
    <xf borderId="4" fillId="3" fontId="1" numFmtId="3" xfId="0" applyAlignment="1" applyBorder="1" applyFont="1" applyNumberFormat="1">
      <alignment vertical="bottom"/>
    </xf>
    <xf borderId="4" fillId="3" fontId="1" numFmtId="164" xfId="0" applyAlignment="1" applyBorder="1" applyFont="1" applyNumberFormat="1">
      <alignment vertical="bottom"/>
    </xf>
    <xf borderId="7" fillId="3" fontId="1" numFmtId="3" xfId="0" applyAlignment="1" applyBorder="1" applyFont="1" applyNumberFormat="1">
      <alignment horizontal="right" vertical="bottom"/>
    </xf>
    <xf borderId="4" fillId="3" fontId="7" numFmtId="164" xfId="0" applyAlignment="1" applyBorder="1" applyFont="1" applyNumberFormat="1">
      <alignment horizontal="center" vertical="bottom"/>
    </xf>
    <xf borderId="4" fillId="6" fontId="1" numFmtId="164" xfId="0" applyAlignment="1" applyBorder="1" applyFont="1" applyNumberFormat="1">
      <alignment horizontal="center" vertical="bottom"/>
    </xf>
    <xf borderId="6" fillId="10" fontId="1" numFmtId="3" xfId="0" applyAlignment="1" applyBorder="1" applyFill="1" applyFont="1" applyNumberFormat="1">
      <alignment horizontal="center" vertical="bottom"/>
    </xf>
    <xf borderId="7" fillId="5" fontId="8" numFmtId="164" xfId="0" applyAlignment="1" applyBorder="1" applyFont="1" applyNumberFormat="1">
      <alignment horizontal="center" vertical="bottom"/>
    </xf>
    <xf borderId="8" fillId="3" fontId="1" numFmtId="3" xfId="0" applyAlignment="1" applyBorder="1" applyFont="1" applyNumberFormat="1">
      <alignment horizontal="center" vertical="bottom"/>
    </xf>
    <xf borderId="7" fillId="3" fontId="1" numFmtId="3" xfId="0" applyAlignment="1" applyBorder="1" applyFont="1" applyNumberFormat="1">
      <alignment horizontal="center" vertical="bottom"/>
    </xf>
    <xf borderId="7" fillId="5" fontId="1" numFmtId="3" xfId="0" applyAlignment="1" applyBorder="1" applyFont="1" applyNumberFormat="1">
      <alignment horizontal="center" vertical="bottom"/>
    </xf>
    <xf borderId="4" fillId="3" fontId="5" numFmtId="3" xfId="0" applyAlignment="1" applyBorder="1" applyFont="1" applyNumberFormat="1">
      <alignment horizontal="left"/>
    </xf>
    <xf borderId="4" fillId="7" fontId="1" numFmtId="164" xfId="0" applyAlignment="1" applyBorder="1" applyFont="1" applyNumberFormat="1">
      <alignment horizontal="center"/>
    </xf>
    <xf borderId="4" fillId="7" fontId="5" numFmtId="3" xfId="0" applyAlignment="1" applyBorder="1" applyFont="1" applyNumberFormat="1">
      <alignment horizontal="left"/>
    </xf>
    <xf borderId="7" fillId="7" fontId="5" numFmtId="3" xfId="0" applyAlignment="1" applyBorder="1" applyFont="1" applyNumberFormat="1">
      <alignment horizontal="center" vertical="bottom"/>
    </xf>
    <xf borderId="4" fillId="0" fontId="1" numFmtId="164" xfId="0" applyAlignment="1" applyBorder="1" applyFont="1" applyNumberFormat="1">
      <alignment horizontal="center"/>
    </xf>
    <xf borderId="4" fillId="0" fontId="1" numFmtId="0" xfId="0" applyAlignment="1" applyBorder="1" applyFont="1">
      <alignment horizontal="left"/>
    </xf>
    <xf borderId="6" fillId="0" fontId="1" numFmtId="3" xfId="0" applyAlignment="1" applyBorder="1" applyFont="1" applyNumberFormat="1">
      <alignment horizontal="center" vertical="bottom"/>
    </xf>
    <xf borderId="7" fillId="0" fontId="1" numFmtId="3" xfId="0" applyAlignment="1" applyBorder="1" applyFont="1" applyNumberFormat="1">
      <alignment vertical="bottom"/>
    </xf>
    <xf borderId="4" fillId="0" fontId="1" numFmtId="164" xfId="0" applyAlignment="1" applyBorder="1" applyFont="1" applyNumberFormat="1">
      <alignment vertical="bottom"/>
    </xf>
    <xf borderId="4" fillId="7" fontId="7" numFmtId="3" xfId="0" applyAlignment="1" applyBorder="1" applyFont="1" applyNumberFormat="1">
      <alignment vertical="bottom"/>
    </xf>
    <xf borderId="6" fillId="4" fontId="1" numFmtId="3" xfId="0" applyAlignment="1" applyBorder="1" applyFont="1" applyNumberFormat="1">
      <alignment horizontal="center" readingOrder="0" vertical="bottom"/>
    </xf>
    <xf borderId="4" fillId="6" fontId="1" numFmtId="164" xfId="0" applyAlignment="1" applyBorder="1" applyFont="1" applyNumberFormat="1">
      <alignment horizontal="center" readingOrder="0" vertical="bottom"/>
    </xf>
    <xf borderId="4" fillId="0" fontId="1" numFmtId="0" xfId="0" applyAlignment="1" applyBorder="1" applyFont="1">
      <alignment vertical="bottom"/>
    </xf>
    <xf borderId="4" fillId="6" fontId="1" numFmtId="3" xfId="0" applyAlignment="1" applyBorder="1" applyFont="1" applyNumberFormat="1">
      <alignment readingOrder="0" vertical="bottom"/>
    </xf>
    <xf borderId="5" fillId="0" fontId="1" numFmtId="164" xfId="0" applyAlignment="1" applyBorder="1" applyFont="1" applyNumberFormat="1">
      <alignment horizontal="center" vertical="bottom"/>
    </xf>
    <xf borderId="4" fillId="11" fontId="7" numFmtId="164" xfId="0" applyAlignment="1" applyBorder="1" applyFill="1" applyFont="1" applyNumberFormat="1">
      <alignment horizontal="center" readingOrder="0" vertical="bottom"/>
    </xf>
    <xf borderId="4" fillId="11" fontId="7" numFmtId="3" xfId="0" applyAlignment="1" applyBorder="1" applyFont="1" applyNumberFormat="1">
      <alignment vertical="bottom"/>
    </xf>
    <xf borderId="6" fillId="12" fontId="1" numFmtId="3" xfId="0" applyAlignment="1" applyBorder="1" applyFill="1" applyFont="1" applyNumberFormat="1">
      <alignment horizontal="center" vertical="bottom"/>
    </xf>
    <xf borderId="7" fillId="12" fontId="1" numFmtId="3" xfId="0" applyAlignment="1" applyBorder="1" applyFont="1" applyNumberFormat="1">
      <alignment vertical="bottom"/>
    </xf>
    <xf borderId="5" fillId="12" fontId="1" numFmtId="3" xfId="0" applyAlignment="1" applyBorder="1" applyFont="1" applyNumberFormat="1">
      <alignment horizontal="center" vertical="bottom"/>
    </xf>
    <xf borderId="5" fillId="5" fontId="1" numFmtId="3" xfId="0" applyAlignment="1" applyBorder="1" applyFont="1" applyNumberFormat="1">
      <alignment horizontal="center" vertical="bottom"/>
    </xf>
    <xf borderId="5" fillId="5" fontId="5" numFmtId="3" xfId="0" applyAlignment="1" applyBorder="1" applyFont="1" applyNumberFormat="1">
      <alignment horizontal="center" vertical="bottom"/>
    </xf>
    <xf borderId="4" fillId="6" fontId="7" numFmtId="3" xfId="0" applyAlignment="1" applyBorder="1" applyFont="1" applyNumberFormat="1">
      <alignment vertical="bottom"/>
    </xf>
    <xf borderId="0" fillId="0" fontId="1" numFmtId="0" xfId="0" applyAlignment="1" applyFont="1">
      <alignment horizontal="center" vertical="bottom"/>
    </xf>
    <xf borderId="0" fillId="0" fontId="1" numFmtId="0" xfId="0" applyAlignment="1" applyFont="1">
      <alignment vertical="bottom"/>
    </xf>
    <xf borderId="4" fillId="9" fontId="7" numFmtId="164" xfId="0" applyAlignment="1" applyBorder="1" applyFont="1" applyNumberFormat="1">
      <alignment horizontal="center" vertical="bottom"/>
    </xf>
    <xf borderId="6" fillId="9" fontId="1" numFmtId="3" xfId="0" applyAlignment="1" applyBorder="1" applyFont="1" applyNumberFormat="1">
      <alignment horizontal="center" vertical="bottom"/>
    </xf>
    <xf borderId="7" fillId="9" fontId="1" numFmtId="3" xfId="0" applyAlignment="1" applyBorder="1" applyFont="1" applyNumberFormat="1">
      <alignment vertical="bottom"/>
    </xf>
    <xf borderId="5" fillId="9" fontId="1" numFmtId="164" xfId="0" applyAlignment="1" applyBorder="1" applyFont="1" applyNumberFormat="1">
      <alignment horizontal="center" vertical="bottom"/>
    </xf>
    <xf borderId="9" fillId="12" fontId="1" numFmtId="3" xfId="0" applyAlignment="1" applyBorder="1" applyFont="1" applyNumberFormat="1">
      <alignment horizontal="center" vertical="bottom"/>
    </xf>
    <xf borderId="9" fillId="3" fontId="1" numFmtId="164" xfId="0" applyAlignment="1" applyBorder="1" applyFont="1" applyNumberFormat="1">
      <alignment horizontal="center" vertical="bottom"/>
    </xf>
    <xf borderId="4" fillId="13" fontId="1" numFmtId="164" xfId="0" applyAlignment="1" applyBorder="1" applyFill="1" applyFont="1" applyNumberFormat="1">
      <alignment vertical="bottom"/>
    </xf>
    <xf borderId="4" fillId="13" fontId="7" numFmtId="3" xfId="0" applyAlignment="1" applyBorder="1" applyFont="1" applyNumberFormat="1">
      <alignment vertical="bottom"/>
    </xf>
    <xf borderId="9" fillId="13" fontId="8" numFmtId="3" xfId="0" applyAlignment="1" applyBorder="1" applyFont="1" applyNumberFormat="1">
      <alignment horizontal="center" vertical="bottom"/>
    </xf>
    <xf borderId="7" fillId="13" fontId="8" numFmtId="3" xfId="0" applyAlignment="1" applyBorder="1" applyFont="1" applyNumberFormat="1">
      <alignment horizontal="center" vertical="bottom"/>
    </xf>
    <xf borderId="5" fillId="13" fontId="1" numFmtId="3" xfId="0" applyAlignment="1" applyBorder="1" applyFont="1" applyNumberFormat="1">
      <alignment horizontal="center" vertical="bottom"/>
    </xf>
    <xf borderId="4" fillId="2" fontId="1" numFmtId="164" xfId="0" applyAlignment="1" applyBorder="1" applyFont="1" applyNumberFormat="1">
      <alignment vertical="bottom"/>
    </xf>
    <xf borderId="4" fillId="2" fontId="6" numFmtId="3" xfId="0" applyAlignment="1" applyBorder="1" applyFont="1" applyNumberFormat="1">
      <alignment vertical="bottom"/>
    </xf>
    <xf borderId="4" fillId="6" fontId="1" numFmtId="3" xfId="0" applyAlignment="1" applyBorder="1" applyFont="1" applyNumberFormat="1">
      <alignment shrinkToFit="0" vertical="bottom" wrapText="1"/>
    </xf>
    <xf borderId="4" fillId="3" fontId="5" numFmtId="164" xfId="0" applyAlignment="1" applyBorder="1" applyFont="1" applyNumberFormat="1">
      <alignment horizontal="center" readingOrder="0"/>
    </xf>
    <xf borderId="4" fillId="0" fontId="1" numFmtId="3" xfId="0" applyAlignment="1" applyBorder="1" applyFont="1" applyNumberFormat="1">
      <alignment horizontal="left"/>
    </xf>
    <xf borderId="4" fillId="0" fontId="8" numFmtId="164" xfId="0" applyAlignment="1" applyBorder="1" applyFont="1" applyNumberFormat="1">
      <alignment horizontal="center"/>
    </xf>
    <xf borderId="4" fillId="0" fontId="8" numFmtId="3" xfId="0" applyAlignment="1" applyBorder="1" applyFont="1" applyNumberFormat="1">
      <alignment horizontal="left"/>
    </xf>
    <xf borderId="4" fillId="6" fontId="1" numFmtId="164" xfId="0" applyAlignment="1" applyBorder="1" applyFont="1" applyNumberFormat="1">
      <alignment horizontal="center"/>
    </xf>
    <xf borderId="4" fillId="6" fontId="1" numFmtId="3" xfId="0" applyAlignment="1" applyBorder="1" applyFont="1" applyNumberFormat="1">
      <alignment horizontal="left"/>
    </xf>
    <xf borderId="4" fillId="6" fontId="8" numFmtId="3" xfId="0" applyAlignment="1" applyBorder="1" applyFont="1" applyNumberFormat="1">
      <alignment horizontal="left"/>
    </xf>
    <xf borderId="4" fillId="0" fontId="8" numFmtId="3" xfId="0" applyAlignment="1" applyBorder="1" applyFont="1" applyNumberFormat="1">
      <alignment horizontal="left" readingOrder="0"/>
    </xf>
    <xf borderId="0" fillId="6" fontId="8" numFmtId="3" xfId="0" applyAlignment="1" applyFont="1" applyNumberFormat="1">
      <alignment horizontal="left"/>
    </xf>
    <xf borderId="4" fillId="0" fontId="5" numFmtId="3" xfId="0" applyAlignment="1" applyBorder="1" applyFont="1" applyNumberFormat="1">
      <alignment horizontal="left"/>
    </xf>
    <xf borderId="4" fillId="3" fontId="5" numFmtId="3" xfId="0" applyAlignment="1" applyBorder="1" applyFont="1" applyNumberFormat="1">
      <alignment horizontal="left" readingOrder="0"/>
    </xf>
    <xf borderId="4" fillId="0" fontId="1" numFmtId="164" xfId="0" applyAlignment="1" applyBorder="1" applyFont="1" applyNumberFormat="1">
      <alignment horizontal="center" readingOrder="0"/>
    </xf>
    <xf borderId="4" fillId="0" fontId="8" numFmtId="3" xfId="0" applyAlignment="1" applyBorder="1" applyFont="1" applyNumberFormat="1">
      <alignment horizontal="left" readingOrder="0"/>
    </xf>
    <xf borderId="4" fillId="14" fontId="5" numFmtId="164" xfId="0" applyAlignment="1" applyBorder="1" applyFill="1" applyFont="1" applyNumberFormat="1">
      <alignment horizontal="center" readingOrder="0"/>
    </xf>
    <xf borderId="4" fillId="14" fontId="5" numFmtId="3" xfId="0" applyAlignment="1" applyBorder="1" applyFont="1" applyNumberFormat="1">
      <alignment horizontal="left"/>
    </xf>
    <xf borderId="6" fillId="14" fontId="1" numFmtId="3" xfId="0" applyAlignment="1" applyBorder="1" applyFont="1" applyNumberFormat="1">
      <alignment horizontal="center" vertical="bottom"/>
    </xf>
    <xf borderId="7" fillId="14" fontId="1" numFmtId="3" xfId="0" applyAlignment="1" applyBorder="1" applyFont="1" applyNumberFormat="1">
      <alignment vertical="bottom"/>
    </xf>
    <xf borderId="5" fillId="14" fontId="1" numFmtId="164" xfId="0" applyAlignment="1" applyBorder="1" applyFont="1" applyNumberFormat="1">
      <alignment horizontal="center" vertical="bottom"/>
    </xf>
    <xf borderId="4" fillId="14" fontId="5" numFmtId="164" xfId="0" applyAlignment="1" applyBorder="1" applyFont="1" applyNumberFormat="1">
      <alignment horizontal="center"/>
    </xf>
    <xf borderId="4" fillId="14" fontId="8" numFmtId="164" xfId="0" applyAlignment="1" applyBorder="1" applyFont="1" applyNumberFormat="1">
      <alignment horizontal="center"/>
    </xf>
    <xf borderId="4" fillId="14" fontId="8" numFmtId="3" xfId="0" applyAlignment="1" applyBorder="1" applyFont="1" applyNumberFormat="1">
      <alignment horizontal="left"/>
    </xf>
    <xf borderId="7" fillId="14" fontId="1" numFmtId="3" xfId="0" applyAlignment="1" applyBorder="1" applyFont="1" applyNumberFormat="1">
      <alignment horizontal="right" vertical="bottom"/>
    </xf>
    <xf borderId="4" fillId="14" fontId="1" numFmtId="164" xfId="0" applyAlignment="1" applyBorder="1" applyFont="1" applyNumberFormat="1">
      <alignment horizontal="center"/>
    </xf>
    <xf borderId="6" fillId="14" fontId="5" numFmtId="3" xfId="0" applyAlignment="1" applyBorder="1" applyFont="1" applyNumberFormat="1">
      <alignment horizontal="center" vertical="bottom"/>
    </xf>
    <xf borderId="7" fillId="14" fontId="5" numFmtId="3" xfId="0" applyAlignment="1" applyBorder="1" applyFont="1" applyNumberFormat="1">
      <alignment horizontal="center" vertical="bottom"/>
    </xf>
    <xf borderId="4" fillId="0" fontId="8" numFmtId="164" xfId="0" applyAlignment="1" applyBorder="1" applyFont="1" applyNumberFormat="1">
      <alignment horizontal="center" readingOrder="0"/>
    </xf>
    <xf borderId="4" fillId="6" fontId="8" numFmtId="164" xfId="0" applyAlignment="1" applyBorder="1" applyFont="1" applyNumberFormat="1">
      <alignment horizontal="center"/>
    </xf>
    <xf borderId="4" fillId="3" fontId="5" numFmtId="164" xfId="0" applyAlignment="1" applyBorder="1" applyFont="1" applyNumberFormat="1">
      <alignment horizontal="center"/>
    </xf>
    <xf borderId="4" fillId="3" fontId="7" numFmtId="164" xfId="0" applyAlignment="1" applyBorder="1" applyFont="1" applyNumberFormat="1">
      <alignment horizontal="center" readingOrder="0"/>
    </xf>
    <xf borderId="4" fillId="3" fontId="7" numFmtId="3" xfId="0" applyAlignment="1" applyBorder="1" applyFont="1" applyNumberFormat="1">
      <alignment horizontal="left"/>
    </xf>
    <xf borderId="4" fillId="0" fontId="1" numFmtId="3" xfId="0" applyAlignment="1" applyBorder="1" applyFont="1" applyNumberFormat="1">
      <alignment horizontal="left" readingOrder="0"/>
    </xf>
    <xf borderId="4" fillId="7" fontId="7" numFmtId="164" xfId="0" applyAlignment="1" applyBorder="1" applyFont="1" applyNumberFormat="1">
      <alignment horizontal="center" readingOrder="0"/>
    </xf>
    <xf borderId="4" fillId="7" fontId="7" numFmtId="3" xfId="0" applyAlignment="1" applyBorder="1" applyFont="1" applyNumberFormat="1">
      <alignment horizontal="left" readingOrder="0"/>
    </xf>
    <xf borderId="4" fillId="3" fontId="8" numFmtId="164" xfId="0" applyAlignment="1" applyBorder="1" applyFont="1" applyNumberFormat="1">
      <alignment horizontal="center"/>
    </xf>
    <xf borderId="4" fillId="3" fontId="8" numFmtId="3" xfId="0" applyAlignment="1" applyBorder="1" applyFont="1" applyNumberFormat="1">
      <alignment horizontal="left"/>
    </xf>
    <xf borderId="4" fillId="3" fontId="7" numFmtId="3" xfId="0" applyAlignment="1" applyBorder="1" applyFont="1" applyNumberFormat="1">
      <alignment horizontal="left" readingOrder="0"/>
    </xf>
    <xf borderId="4" fillId="3" fontId="7" numFmtId="164" xfId="0" applyAlignment="1" applyBorder="1" applyFont="1" applyNumberFormat="1">
      <alignment horizontal="center"/>
    </xf>
    <xf borderId="4" fillId="3" fontId="9" numFmtId="3" xfId="0" applyAlignment="1" applyBorder="1" applyFont="1" applyNumberFormat="1">
      <alignment horizontal="left"/>
    </xf>
    <xf borderId="4" fillId="0" fontId="7" numFmtId="3" xfId="0" applyAlignment="1" applyBorder="1" applyFont="1" applyNumberFormat="1">
      <alignment horizontal="left"/>
    </xf>
    <xf borderId="4" fillId="6" fontId="7" numFmtId="3" xfId="0" applyAlignment="1" applyBorder="1" applyFont="1" applyNumberFormat="1">
      <alignment horizontal="left"/>
    </xf>
    <xf borderId="4" fillId="0" fontId="8" numFmtId="0" xfId="0" applyAlignment="1" applyBorder="1" applyFont="1">
      <alignment horizontal="left"/>
    </xf>
    <xf borderId="4" fillId="0" fontId="8" numFmtId="4" xfId="0" applyAlignment="1" applyBorder="1" applyFont="1" applyNumberFormat="1">
      <alignment horizontal="left"/>
    </xf>
    <xf borderId="4" fillId="0" fontId="5" numFmtId="4" xfId="0" applyAlignment="1" applyBorder="1" applyFont="1" applyNumberFormat="1">
      <alignment horizontal="left"/>
    </xf>
    <xf borderId="4" fillId="11" fontId="7" numFmtId="164" xfId="0" applyAlignment="1" applyBorder="1" applyFont="1" applyNumberFormat="1">
      <alignment horizontal="center" readingOrder="0"/>
    </xf>
    <xf borderId="4" fillId="11" fontId="5" numFmtId="4" xfId="0" applyAlignment="1" applyBorder="1" applyFont="1" applyNumberFormat="1">
      <alignment horizontal="left"/>
    </xf>
    <xf borderId="6" fillId="11" fontId="1" numFmtId="3" xfId="0" applyAlignment="1" applyBorder="1" applyFont="1" applyNumberFormat="1">
      <alignment horizontal="center" vertical="bottom"/>
    </xf>
    <xf borderId="7" fillId="11" fontId="1" numFmtId="3" xfId="0" applyAlignment="1" applyBorder="1" applyFont="1" applyNumberFormat="1">
      <alignment vertical="bottom"/>
    </xf>
    <xf borderId="4" fillId="0" fontId="8" numFmtId="4" xfId="0" applyAlignment="1" applyBorder="1" applyFont="1" applyNumberFormat="1">
      <alignment horizontal="left" readingOrder="0"/>
    </xf>
    <xf borderId="0" fillId="0" fontId="1" numFmtId="164" xfId="0" applyAlignment="1" applyFont="1" applyNumberFormat="1">
      <alignment horizontal="center" vertical="bottom"/>
    </xf>
    <xf borderId="4" fillId="0" fontId="8" numFmtId="4" xfId="0" applyAlignment="1" applyBorder="1" applyFont="1" applyNumberFormat="1">
      <alignment vertical="bottom"/>
    </xf>
    <xf borderId="0" fillId="6" fontId="8" numFmtId="4" xfId="0" applyAlignment="1" applyFont="1" applyNumberFormat="1">
      <alignment horizontal="left"/>
    </xf>
    <xf borderId="5" fillId="11" fontId="1" numFmtId="164" xfId="0" applyAlignment="1" applyBorder="1" applyFont="1" applyNumberFormat="1">
      <alignment horizontal="center" vertical="bottom"/>
    </xf>
    <xf borderId="4" fillId="14" fontId="5" numFmtId="4" xfId="0" applyAlignment="1" applyBorder="1" applyFont="1" applyNumberFormat="1">
      <alignment horizontal="left"/>
    </xf>
    <xf borderId="4" fillId="0" fontId="7" numFmtId="164" xfId="0" applyAlignment="1" applyBorder="1" applyFont="1" applyNumberFormat="1">
      <alignment horizontal="center"/>
    </xf>
    <xf borderId="10" fillId="0" fontId="1" numFmtId="3" xfId="0" applyAlignment="1" applyBorder="1" applyFont="1" applyNumberFormat="1">
      <alignment vertical="bottom"/>
    </xf>
    <xf borderId="8" fillId="0" fontId="1" numFmtId="164" xfId="0" applyAlignment="1" applyBorder="1" applyFont="1" applyNumberFormat="1">
      <alignment horizontal="center" vertical="bottom"/>
    </xf>
    <xf borderId="3" fillId="0" fontId="1" numFmtId="3" xfId="0" applyAlignment="1" applyBorder="1" applyFont="1" applyNumberFormat="1">
      <alignment vertical="bottom"/>
    </xf>
    <xf borderId="8" fillId="6" fontId="1" numFmtId="164" xfId="0" applyAlignment="1" applyBorder="1" applyFont="1" applyNumberFormat="1">
      <alignment horizontal="center" vertical="bottom"/>
    </xf>
    <xf borderId="4" fillId="7" fontId="7" numFmtId="3" xfId="0" applyAlignment="1" applyBorder="1" applyFont="1" applyNumberFormat="1">
      <alignment horizontal="left"/>
    </xf>
    <xf borderId="9" fillId="4" fontId="1" numFmtId="3" xfId="0" applyAlignment="1" applyBorder="1" applyFont="1" applyNumberFormat="1">
      <alignment horizontal="center" vertical="bottom"/>
    </xf>
    <xf borderId="7" fillId="5" fontId="1" numFmtId="3" xfId="0" applyAlignment="1" applyBorder="1" applyFont="1" applyNumberFormat="1">
      <alignment horizontal="center" readingOrder="0" vertical="bottom"/>
    </xf>
    <xf borderId="11" fillId="0" fontId="1" numFmtId="3" xfId="0" applyAlignment="1" applyBorder="1" applyFont="1" applyNumberFormat="1">
      <alignment vertical="bottom"/>
    </xf>
    <xf borderId="5" fillId="15" fontId="8" numFmtId="164" xfId="0" applyAlignment="1" applyBorder="1" applyFill="1" applyFont="1" applyNumberFormat="1">
      <alignment horizontal="center" vertical="bottom"/>
    </xf>
    <xf borderId="12" fillId="0" fontId="1" numFmtId="3" xfId="0" applyAlignment="1" applyBorder="1" applyFont="1" applyNumberFormat="1">
      <alignment vertical="bottom"/>
    </xf>
    <xf borderId="4" fillId="3" fontId="7" numFmtId="3" xfId="0" applyAlignment="1" applyBorder="1" applyFont="1" applyNumberFormat="1">
      <alignment horizontal="left" vertical="bottom"/>
    </xf>
    <xf borderId="4" fillId="3" fontId="7" numFmtId="3" xfId="0" applyAlignment="1" applyBorder="1" applyFont="1" applyNumberFormat="1">
      <alignment horizontal="left" readingOrder="0" vertical="bottom"/>
    </xf>
    <xf borderId="4" fillId="6" fontId="1" numFmtId="164" xfId="0" applyAlignment="1" applyBorder="1" applyFont="1" applyNumberFormat="1">
      <alignment horizontal="center" readingOrder="0"/>
    </xf>
    <xf borderId="4" fillId="0" fontId="8" numFmtId="4" xfId="0" applyAlignment="1" applyBorder="1" applyFont="1" applyNumberFormat="1">
      <alignment horizontal="left" readingOrder="0"/>
    </xf>
    <xf borderId="5" fillId="6" fontId="1" numFmtId="164" xfId="0" applyAlignment="1" applyBorder="1" applyFont="1" applyNumberFormat="1">
      <alignment horizontal="center" readingOrder="0" vertical="bottom"/>
    </xf>
    <xf borderId="6" fillId="4" fontId="7" numFmtId="3" xfId="0" applyAlignment="1" applyBorder="1" applyFont="1" applyNumberFormat="1">
      <alignment horizontal="center" vertical="bottom"/>
    </xf>
    <xf borderId="4" fillId="2" fontId="6" numFmtId="164" xfId="0" applyAlignment="1" applyBorder="1" applyFont="1" applyNumberFormat="1">
      <alignment horizontal="center"/>
    </xf>
    <xf borderId="9" fillId="4" fontId="8" numFmtId="3" xfId="0" applyAlignment="1" applyBorder="1" applyFont="1" applyNumberFormat="1">
      <alignment horizontal="center" readingOrder="0" vertical="bottom"/>
    </xf>
    <xf borderId="5" fillId="0" fontId="8" numFmtId="164" xfId="0" applyAlignment="1" applyBorder="1" applyFont="1" applyNumberFormat="1">
      <alignment horizontal="center" vertical="bottom"/>
    </xf>
    <xf borderId="9" fillId="4" fontId="8" numFmtId="3" xfId="0" applyAlignment="1" applyBorder="1" applyFont="1" applyNumberFormat="1">
      <alignment horizontal="center" vertical="bottom"/>
    </xf>
    <xf borderId="4" fillId="11" fontId="5" numFmtId="3" xfId="0" applyAlignment="1" applyBorder="1" applyFont="1" applyNumberFormat="1">
      <alignment horizontal="left"/>
    </xf>
    <xf borderId="9" fillId="11" fontId="1" numFmtId="3" xfId="0" applyAlignment="1" applyBorder="1" applyFont="1" applyNumberFormat="1">
      <alignment horizontal="center" vertical="bottom"/>
    </xf>
    <xf borderId="5" fillId="11" fontId="1" numFmtId="164" xfId="0" applyAlignment="1" applyBorder="1" applyFont="1" applyNumberFormat="1">
      <alignment horizontal="center" vertical="bottom"/>
    </xf>
    <xf borderId="4" fillId="0" fontId="1" numFmtId="3" xfId="0" applyAlignment="1" applyBorder="1" applyFont="1" applyNumberFormat="1">
      <alignment horizontal="left" vertical="bottom"/>
    </xf>
    <xf borderId="9" fillId="4" fontId="5" numFmtId="3" xfId="0" applyAlignment="1" applyBorder="1" applyFont="1" applyNumberFormat="1">
      <alignment horizontal="center" vertical="bottom"/>
    </xf>
    <xf borderId="4" fillId="9" fontId="7" numFmtId="3" xfId="0" applyAlignment="1" applyBorder="1" applyFont="1" applyNumberFormat="1">
      <alignment horizontal="left"/>
    </xf>
    <xf borderId="5" fillId="12" fontId="1" numFmtId="164" xfId="0" applyAlignment="1" applyBorder="1" applyFont="1" applyNumberFormat="1">
      <alignment horizontal="center" vertical="bottom"/>
    </xf>
    <xf borderId="4" fillId="3" fontId="5" numFmtId="0" xfId="0" applyAlignment="1" applyBorder="1" applyFont="1">
      <alignment horizontal="left"/>
    </xf>
    <xf borderId="4" fillId="0" fontId="8" numFmtId="0" xfId="0" applyAlignment="1" applyBorder="1" applyFont="1">
      <alignment horizontal="left" readingOrder="0"/>
    </xf>
    <xf borderId="4" fillId="0" fontId="5" numFmtId="0" xfId="0" applyAlignment="1" applyBorder="1" applyFont="1">
      <alignment horizontal="left"/>
    </xf>
    <xf borderId="5" fillId="16" fontId="8" numFmtId="164" xfId="0" applyAlignment="1" applyBorder="1" applyFill="1" applyFont="1" applyNumberFormat="1">
      <alignment horizontal="center" vertical="bottom"/>
    </xf>
    <xf borderId="4" fillId="3" fontId="5" numFmtId="164" xfId="0" applyAlignment="1" applyBorder="1" applyFont="1" applyNumberFormat="1">
      <alignment horizontal="center" readingOrder="0" vertical="bottom"/>
    </xf>
    <xf borderId="4" fillId="0" fontId="8" numFmtId="164" xfId="0" applyAlignment="1" applyBorder="1" applyFont="1" applyNumberFormat="1">
      <alignment horizontal="center" vertical="bottom"/>
    </xf>
    <xf borderId="4" fillId="0" fontId="8" numFmtId="3" xfId="0" applyAlignment="1" applyBorder="1" applyFont="1" applyNumberFormat="1">
      <alignment horizontal="left" vertical="bottom"/>
    </xf>
    <xf borderId="4" fillId="0" fontId="5" numFmtId="3" xfId="0" applyAlignment="1" applyBorder="1" applyFont="1" applyNumberFormat="1">
      <alignment horizontal="left" vertical="bottom"/>
    </xf>
    <xf borderId="4" fillId="6" fontId="7" numFmtId="3" xfId="0" applyAlignment="1" applyBorder="1" applyFont="1" applyNumberFormat="1">
      <alignment horizontal="left" vertical="bottom"/>
    </xf>
    <xf borderId="4" fillId="12" fontId="7" numFmtId="164" xfId="0" applyAlignment="1" applyBorder="1" applyFont="1" applyNumberFormat="1">
      <alignment horizontal="center" readingOrder="0" vertical="bottom"/>
    </xf>
    <xf borderId="10" fillId="12" fontId="7" numFmtId="3" xfId="0" applyAlignment="1" applyBorder="1" applyFont="1" applyNumberFormat="1">
      <alignment vertical="bottom"/>
    </xf>
    <xf borderId="10" fillId="12" fontId="7" numFmtId="3" xfId="0" applyAlignment="1" applyBorder="1" applyFont="1" applyNumberFormat="1">
      <alignment readingOrder="0" vertical="bottom"/>
    </xf>
    <xf borderId="0" fillId="3" fontId="7" numFmtId="164" xfId="0" applyAlignment="1" applyFont="1" applyNumberFormat="1">
      <alignment horizontal="center" readingOrder="0" vertical="bottom"/>
    </xf>
    <xf borderId="4" fillId="3" fontId="7" numFmtId="3" xfId="0" applyAlignment="1" applyBorder="1" applyFont="1" applyNumberFormat="1">
      <alignment readingOrder="0" vertical="bottom"/>
    </xf>
    <xf borderId="8" fillId="3" fontId="1" numFmtId="164" xfId="0" applyAlignment="1" applyBorder="1" applyFont="1" applyNumberFormat="1">
      <alignment horizontal="center" vertical="bottom"/>
    </xf>
    <xf borderId="7" fillId="3" fontId="1" numFmtId="164" xfId="0" applyAlignment="1" applyBorder="1" applyFont="1" applyNumberFormat="1">
      <alignment vertical="bottom"/>
    </xf>
    <xf borderId="7" fillId="3" fontId="1" numFmtId="164" xfId="0" applyAlignment="1" applyBorder="1" applyFont="1" applyNumberFormat="1">
      <alignment horizontal="center" vertical="bottom"/>
    </xf>
    <xf borderId="4" fillId="0" fontId="1" numFmtId="164" xfId="0" applyAlignment="1" applyBorder="1" applyFont="1" applyNumberFormat="1">
      <alignment horizontal="center" vertical="bottom"/>
    </xf>
    <xf borderId="7" fillId="5" fontId="1" numFmtId="3" xfId="0" applyAlignment="1" applyBorder="1" applyFont="1" applyNumberFormat="1">
      <alignment vertical="bottom"/>
    </xf>
    <xf borderId="7" fillId="0" fontId="1" numFmtId="164" xfId="0" applyAlignment="1" applyBorder="1" applyFont="1" applyNumberFormat="1">
      <alignment horizontal="center" vertical="bottom"/>
    </xf>
    <xf borderId="4" fillId="0" fontId="1" numFmtId="164" xfId="0" applyAlignment="1" applyBorder="1" applyFont="1" applyNumberFormat="1">
      <alignment vertical="bottom"/>
    </xf>
    <xf borderId="9" fillId="4" fontId="7" numFmtId="3" xfId="0" applyAlignment="1" applyBorder="1" applyFont="1" applyNumberFormat="1">
      <alignment horizontal="center" vertical="bottom"/>
    </xf>
    <xf borderId="7" fillId="5" fontId="7" numFmtId="3" xfId="0" applyAlignment="1" applyBorder="1" applyFont="1" applyNumberFormat="1">
      <alignment horizontal="center" vertical="bottom"/>
    </xf>
    <xf borderId="9" fillId="10" fontId="1" numFmtId="3" xfId="0" applyAlignment="1" applyBorder="1" applyFont="1" applyNumberFormat="1">
      <alignment horizontal="center" vertical="bottom"/>
    </xf>
    <xf borderId="4" fillId="9" fontId="1" numFmtId="164" xfId="0" applyAlignment="1" applyBorder="1" applyFont="1" applyNumberFormat="1">
      <alignment horizontal="center"/>
    </xf>
    <xf borderId="4" fillId="9" fontId="5" numFmtId="3" xfId="0" applyAlignment="1" applyBorder="1" applyFont="1" applyNumberFormat="1">
      <alignment horizontal="left"/>
    </xf>
    <xf borderId="6" fillId="9" fontId="5" numFmtId="3" xfId="0" applyAlignment="1" applyBorder="1" applyFont="1" applyNumberFormat="1">
      <alignment horizontal="center" vertical="bottom"/>
    </xf>
    <xf borderId="7" fillId="9" fontId="5" numFmtId="3" xfId="0" applyAlignment="1" applyBorder="1" applyFont="1" applyNumberFormat="1">
      <alignment horizontal="center" vertical="bottom"/>
    </xf>
    <xf borderId="7" fillId="5" fontId="1" numFmtId="3" xfId="0" applyAlignment="1" applyBorder="1" applyFont="1" applyNumberFormat="1">
      <alignment vertical="top"/>
    </xf>
    <xf borderId="4" fillId="6" fontId="1" numFmtId="3" xfId="0" applyAlignment="1" applyBorder="1" applyFont="1" applyNumberFormat="1">
      <alignment horizontal="left" readingOrder="0"/>
    </xf>
    <xf borderId="4" fillId="12" fontId="7" numFmtId="3" xfId="0" applyAlignment="1" applyBorder="1" applyFont="1" applyNumberFormat="1">
      <alignment horizontal="left"/>
    </xf>
    <xf borderId="13" fillId="0" fontId="8" numFmtId="0" xfId="0" applyAlignment="1" applyBorder="1" applyFont="1">
      <alignment vertical="bottom"/>
    </xf>
    <xf borderId="4" fillId="12" fontId="7" numFmtId="3" xfId="0" applyAlignment="1" applyBorder="1" applyFont="1" applyNumberFormat="1">
      <alignment horizontal="left" readingOrder="0"/>
    </xf>
    <xf borderId="4" fillId="5" fontId="8" numFmtId="3" xfId="0" applyAlignment="1" applyBorder="1" applyFont="1" applyNumberFormat="1">
      <alignment horizontal="center" vertical="bottom"/>
    </xf>
    <xf borderId="14" fillId="0" fontId="8" numFmtId="164" xfId="0" applyAlignment="1" applyBorder="1" applyFont="1" applyNumberFormat="1">
      <alignment horizontal="center" vertical="bottom"/>
    </xf>
    <xf borderId="8" fillId="5" fontId="8" numFmtId="3" xfId="0" applyAlignment="1" applyBorder="1" applyFont="1" applyNumberFormat="1">
      <alignment horizontal="center" vertical="bottom"/>
    </xf>
    <xf borderId="13" fillId="0" fontId="1" numFmtId="3" xfId="0" applyAlignment="1" applyBorder="1" applyFont="1" applyNumberFormat="1">
      <alignment vertical="bottom"/>
    </xf>
    <xf borderId="13" fillId="6" fontId="1" numFmtId="3" xfId="0" applyAlignment="1" applyBorder="1" applyFont="1" applyNumberFormat="1">
      <alignment readingOrder="0" vertical="bottom"/>
    </xf>
    <xf borderId="13" fillId="6" fontId="1" numFmtId="3" xfId="0" applyAlignment="1" applyBorder="1" applyFont="1" applyNumberFormat="1">
      <alignment vertical="bottom"/>
    </xf>
    <xf borderId="4" fillId="0" fontId="1" numFmtId="164" xfId="0" applyAlignment="1" applyBorder="1" applyFont="1" applyNumberFormat="1">
      <alignment readingOrder="0" vertical="bottom"/>
    </xf>
    <xf borderId="13" fillId="0" fontId="1" numFmtId="3" xfId="0" applyAlignment="1" applyBorder="1" applyFont="1" applyNumberFormat="1">
      <alignment readingOrder="0" vertical="bottom"/>
    </xf>
    <xf borderId="8" fillId="0" fontId="1" numFmtId="164" xfId="0" applyAlignment="1" applyBorder="1" applyFont="1" applyNumberFormat="1">
      <alignment vertical="bottom"/>
    </xf>
    <xf borderId="8" fillId="6" fontId="1" numFmtId="164" xfId="0" applyAlignment="1" applyBorder="1" applyFont="1" applyNumberFormat="1">
      <alignment vertical="bottom"/>
    </xf>
    <xf borderId="7" fillId="6" fontId="1" numFmtId="3" xfId="0" applyAlignment="1" applyBorder="1" applyFont="1" applyNumberFormat="1">
      <alignment vertical="bottom"/>
    </xf>
    <xf borderId="0" fillId="6" fontId="8" numFmtId="164" xfId="0" applyAlignment="1" applyFont="1" applyNumberFormat="1">
      <alignment horizontal="center" readingOrder="0" vertical="bottom"/>
    </xf>
    <xf borderId="4" fillId="6" fontId="8" numFmtId="3" xfId="0" applyAlignment="1" applyBorder="1" applyFont="1" applyNumberFormat="1">
      <alignment readingOrder="0" vertical="bottom"/>
    </xf>
    <xf borderId="5" fillId="6" fontId="8" numFmtId="3" xfId="0" applyAlignment="1" applyBorder="1" applyFont="1" applyNumberFormat="1">
      <alignment horizontal="center" vertical="bottom"/>
    </xf>
    <xf borderId="4" fillId="6" fontId="8" numFmtId="164" xfId="0" applyAlignment="1" applyBorder="1" applyFont="1" applyNumberFormat="1">
      <alignment horizontal="center" readingOrder="0" vertical="bottom"/>
    </xf>
    <xf borderId="4" fillId="6" fontId="8" numFmtId="164" xfId="0" applyAlignment="1" applyBorder="1" applyFont="1" applyNumberFormat="1">
      <alignment horizontal="center" vertical="bottom"/>
    </xf>
    <xf borderId="4" fillId="6" fontId="8" numFmtId="3" xfId="0" applyAlignment="1" applyBorder="1" applyFont="1" applyNumberFormat="1">
      <alignment vertical="bottom"/>
    </xf>
    <xf borderId="4" fillId="6" fontId="1" numFmtId="164" xfId="0" applyAlignment="1" applyBorder="1" applyFont="1" applyNumberFormat="1">
      <alignment vertical="bottom"/>
    </xf>
    <xf borderId="4" fillId="6" fontId="5" numFmtId="3" xfId="0" applyAlignment="1" applyBorder="1" applyFont="1" applyNumberFormat="1">
      <alignment vertical="bottom"/>
    </xf>
    <xf borderId="4" fillId="9" fontId="7" numFmtId="164" xfId="0" applyAlignment="1" applyBorder="1" applyFont="1" applyNumberFormat="1">
      <alignment horizontal="center" readingOrder="0" vertical="bottom"/>
    </xf>
    <xf borderId="8" fillId="9" fontId="1" numFmtId="3" xfId="0" applyAlignment="1" applyBorder="1" applyFont="1" applyNumberFormat="1">
      <alignment horizontal="center" vertical="bottom"/>
    </xf>
    <xf borderId="7" fillId="9" fontId="1" numFmtId="164" xfId="0" applyAlignment="1" applyBorder="1" applyFont="1" applyNumberFormat="1">
      <alignment horizontal="center" vertical="bottom"/>
    </xf>
    <xf borderId="4" fillId="2" fontId="10" numFmtId="164" xfId="0" applyAlignment="1" applyBorder="1" applyFont="1" applyNumberFormat="1">
      <alignment horizontal="center"/>
    </xf>
    <xf borderId="4" fillId="12" fontId="7" numFmtId="164" xfId="0" applyAlignment="1" applyBorder="1" applyFont="1" applyNumberFormat="1">
      <alignment horizontal="center" readingOrder="0"/>
    </xf>
    <xf borderId="4" fillId="17" fontId="1" numFmtId="164" xfId="0" applyAlignment="1" applyBorder="1" applyFill="1" applyFont="1" applyNumberFormat="1">
      <alignment horizontal="center"/>
    </xf>
    <xf borderId="4" fillId="17" fontId="7" numFmtId="3" xfId="0" applyAlignment="1" applyBorder="1" applyFont="1" applyNumberFormat="1">
      <alignment horizontal="left"/>
    </xf>
    <xf borderId="6" fillId="17" fontId="1" numFmtId="3" xfId="0" applyAlignment="1" applyBorder="1" applyFont="1" applyNumberFormat="1">
      <alignment horizontal="center" vertical="bottom"/>
    </xf>
    <xf borderId="7" fillId="17" fontId="1" numFmtId="3" xfId="0" applyAlignment="1" applyBorder="1" applyFont="1" applyNumberFormat="1">
      <alignment vertical="bottom"/>
    </xf>
    <xf borderId="5" fillId="17" fontId="1" numFmtId="164" xfId="0" applyAlignment="1" applyBorder="1" applyFont="1" applyNumberFormat="1">
      <alignment horizontal="center" vertical="bottom"/>
    </xf>
    <xf borderId="7" fillId="0" fontId="8" numFmtId="3" xfId="0" applyAlignment="1" applyBorder="1" applyFont="1" applyNumberFormat="1">
      <alignment vertical="bottom"/>
    </xf>
    <xf borderId="9" fillId="17" fontId="8" numFmtId="3" xfId="0" applyAlignment="1" applyBorder="1" applyFont="1" applyNumberFormat="1">
      <alignment horizontal="center" vertical="bottom"/>
    </xf>
    <xf borderId="7" fillId="17" fontId="8" numFmtId="3" xfId="0" applyAlignment="1" applyBorder="1" applyFont="1" applyNumberFormat="1">
      <alignment horizontal="center" vertical="bottom"/>
    </xf>
    <xf borderId="4" fillId="12" fontId="7" numFmtId="164" xfId="0" applyAlignment="1" applyBorder="1" applyFont="1" applyNumberFormat="1">
      <alignment horizontal="center"/>
    </xf>
    <xf borderId="15" fillId="9" fontId="7" numFmtId="164" xfId="0" applyAlignment="1" applyBorder="1" applyFont="1" applyNumberFormat="1">
      <alignment horizontal="left"/>
    </xf>
    <xf borderId="13" fillId="9" fontId="7" numFmtId="164" xfId="0" applyAlignment="1" applyBorder="1" applyFont="1" applyNumberFormat="1">
      <alignment horizontal="left"/>
    </xf>
    <xf borderId="5" fillId="0" fontId="8" numFmtId="3" xfId="0" applyAlignment="1" applyBorder="1" applyFont="1" applyNumberFormat="1">
      <alignment horizontal="center" readingOrder="0" vertical="bottom"/>
    </xf>
    <xf borderId="5" fillId="0" fontId="8" numFmtId="3" xfId="0" applyAlignment="1" applyBorder="1" applyFont="1" applyNumberFormat="1">
      <alignment horizontal="center" vertical="bottom"/>
    </xf>
    <xf borderId="4" fillId="0" fontId="8" numFmtId="0" xfId="0" applyAlignment="1" applyBorder="1" applyFont="1">
      <alignment horizontal="left"/>
    </xf>
    <xf borderId="7" fillId="5" fontId="1" numFmtId="3" xfId="0" applyAlignment="1" applyBorder="1" applyFont="1" applyNumberFormat="1">
      <alignment horizontal="center" vertical="top"/>
    </xf>
    <xf borderId="5" fillId="6" fontId="1" numFmtId="3" xfId="0" applyAlignment="1" applyBorder="1" applyFont="1" applyNumberFormat="1">
      <alignment horizontal="center" vertical="bottom"/>
    </xf>
    <xf borderId="9" fillId="12" fontId="7" numFmtId="3" xfId="0" applyAlignment="1" applyBorder="1" applyFont="1" applyNumberFormat="1">
      <alignment horizontal="center" vertical="bottom"/>
    </xf>
    <xf borderId="7" fillId="9" fontId="7" numFmtId="3" xfId="0" applyAlignment="1" applyBorder="1" applyFont="1" applyNumberFormat="1">
      <alignment vertical="bottom"/>
    </xf>
    <xf borderId="13" fillId="0" fontId="8" numFmtId="3" xfId="0" applyAlignment="1" applyBorder="1" applyFont="1" applyNumberFormat="1">
      <alignment vertical="bottom"/>
    </xf>
    <xf borderId="8" fillId="0" fontId="8" numFmtId="164" xfId="0" applyAlignment="1" applyBorder="1" applyFont="1" applyNumberFormat="1">
      <alignment vertical="bottom"/>
    </xf>
    <xf borderId="13" fillId="0" fontId="5" numFmtId="3" xfId="0" applyAlignment="1" applyBorder="1" applyFont="1" applyNumberFormat="1">
      <alignment vertical="bottom"/>
    </xf>
    <xf borderId="7" fillId="6" fontId="7" numFmtId="3" xfId="0" applyAlignment="1" applyBorder="1" applyFont="1" applyNumberFormat="1">
      <alignment vertical="bottom"/>
    </xf>
    <xf borderId="7" fillId="0" fontId="5" numFmtId="3" xfId="0" applyAlignment="1" applyBorder="1" applyFont="1" applyNumberFormat="1">
      <alignment vertical="bottom"/>
    </xf>
    <xf borderId="9" fillId="10" fontId="8" numFmtId="3" xfId="0" applyAlignment="1" applyBorder="1" applyFont="1" applyNumberFormat="1">
      <alignment horizontal="center" vertical="bottom"/>
    </xf>
    <xf borderId="8" fillId="0" fontId="1" numFmtId="164" xfId="0" applyAlignment="1" applyBorder="1" applyFont="1" applyNumberFormat="1">
      <alignment readingOrder="0" vertical="bottom"/>
    </xf>
    <xf borderId="7" fillId="0" fontId="8" numFmtId="3" xfId="0" applyAlignment="1" applyBorder="1" applyFont="1" applyNumberFormat="1">
      <alignment readingOrder="0" vertical="bottom"/>
    </xf>
    <xf borderId="9" fillId="12" fontId="5" numFmtId="3" xfId="0" applyAlignment="1" applyBorder="1" applyFont="1" applyNumberFormat="1">
      <alignment horizontal="center" vertical="bottom"/>
    </xf>
    <xf borderId="7" fillId="12" fontId="5" numFmtId="3" xfId="0" applyAlignment="1" applyBorder="1" applyFont="1" applyNumberFormat="1">
      <alignment horizontal="center" vertical="bottom"/>
    </xf>
    <xf borderId="4" fillId="12" fontId="7" numFmtId="164" xfId="0" applyAlignment="1" applyBorder="1" applyFont="1" applyNumberFormat="1">
      <alignment horizontal="left"/>
    </xf>
    <xf borderId="9" fillId="12" fontId="1" numFmtId="164" xfId="0" applyAlignment="1" applyBorder="1" applyFont="1" applyNumberFormat="1">
      <alignment horizontal="center" vertical="bottom"/>
    </xf>
    <xf borderId="7" fillId="12" fontId="1" numFmtId="164" xfId="0" applyAlignment="1" applyBorder="1" applyFont="1" applyNumberFormat="1">
      <alignment vertical="bottom"/>
    </xf>
    <xf borderId="9" fillId="12" fontId="5" numFmtId="164" xfId="0" applyAlignment="1" applyBorder="1" applyFont="1" applyNumberFormat="1">
      <alignment horizontal="center" vertical="bottom"/>
    </xf>
    <xf borderId="7" fillId="12" fontId="1" numFmtId="164" xfId="0" applyAlignment="1" applyBorder="1" applyFont="1" applyNumberFormat="1">
      <alignment horizontal="right" vertical="bottom"/>
    </xf>
    <xf borderId="4" fillId="12" fontId="7" numFmtId="164" xfId="0" applyAlignment="1" applyBorder="1" applyFont="1" applyNumberFormat="1">
      <alignment horizontal="left" readingOrder="0"/>
    </xf>
    <xf borderId="9" fillId="7" fontId="5" numFmtId="3" xfId="0" applyAlignment="1" applyBorder="1" applyFont="1" applyNumberFormat="1">
      <alignment horizontal="center" vertical="bottom"/>
    </xf>
    <xf borderId="5" fillId="7" fontId="1" numFmtId="3" xfId="0" applyAlignment="1" applyBorder="1" applyFont="1" applyNumberFormat="1">
      <alignment horizontal="center" vertical="bottom"/>
    </xf>
    <xf borderId="4" fillId="12" fontId="1" numFmtId="3" xfId="0" applyAlignment="1" applyBorder="1" applyFont="1" applyNumberFormat="1">
      <alignment horizontal="left"/>
    </xf>
    <xf borderId="4" fillId="15" fontId="1" numFmtId="164" xfId="0" applyAlignment="1" applyBorder="1" applyFont="1" applyNumberFormat="1">
      <alignment horizontal="center"/>
    </xf>
    <xf borderId="4" fillId="15" fontId="1" numFmtId="3" xfId="0" applyAlignment="1" applyBorder="1" applyFont="1" applyNumberFormat="1">
      <alignment horizontal="left"/>
    </xf>
    <xf borderId="6" fillId="15" fontId="1" numFmtId="3" xfId="0" applyAlignment="1" applyBorder="1" applyFont="1" applyNumberFormat="1">
      <alignment horizontal="center" vertical="bottom"/>
    </xf>
    <xf borderId="7" fillId="15" fontId="8" numFmtId="3" xfId="0" applyAlignment="1" applyBorder="1" applyFont="1" applyNumberFormat="1">
      <alignment horizontal="center" vertical="bottom"/>
    </xf>
    <xf borderId="4" fillId="12" fontId="8" numFmtId="3" xfId="0" applyAlignment="1" applyBorder="1" applyFont="1" applyNumberFormat="1">
      <alignment horizontal="left"/>
    </xf>
    <xf borderId="4" fillId="18" fontId="1" numFmtId="164" xfId="0" applyAlignment="1" applyBorder="1" applyFill="1" applyFont="1" applyNumberFormat="1">
      <alignment horizontal="center"/>
    </xf>
    <xf borderId="4" fillId="18" fontId="6" numFmtId="3" xfId="0" applyAlignment="1" applyBorder="1" applyFont="1" applyNumberFormat="1">
      <alignment horizontal="left"/>
    </xf>
    <xf borderId="6" fillId="18" fontId="1" numFmtId="3" xfId="0" applyAlignment="1" applyBorder="1" applyFont="1" applyNumberFormat="1">
      <alignment horizontal="center" vertical="bottom"/>
    </xf>
    <xf borderId="7" fillId="18" fontId="1" numFmtId="3" xfId="0" applyAlignment="1" applyBorder="1" applyFont="1" applyNumberFormat="1">
      <alignment vertical="bottom"/>
    </xf>
    <xf borderId="5" fillId="18" fontId="1" numFmtId="164" xfId="0" applyAlignment="1" applyBorder="1" applyFont="1" applyNumberFormat="1">
      <alignment horizontal="center" vertical="bottom"/>
    </xf>
    <xf borderId="4" fillId="0" fontId="5" numFmtId="164" xfId="0" applyAlignment="1" applyBorder="1" applyFont="1" applyNumberFormat="1">
      <alignment horizontal="center"/>
    </xf>
    <xf borderId="4" fillId="12" fontId="1" numFmtId="3" xfId="0" applyAlignment="1" applyBorder="1" applyFont="1" applyNumberFormat="1">
      <alignment horizontal="left" readingOrder="0"/>
    </xf>
    <xf borderId="7" fillId="4" fontId="1" numFmtId="3" xfId="0" applyAlignment="1" applyBorder="1" applyFont="1" applyNumberFormat="1">
      <alignment horizontal="center" vertical="bottom"/>
    </xf>
    <xf borderId="5" fillId="0" fontId="8" numFmtId="164" xfId="0" applyAlignment="1" applyBorder="1" applyFont="1" applyNumberFormat="1">
      <alignment horizontal="center" readingOrder="0" vertical="bottom"/>
    </xf>
    <xf borderId="0" fillId="0" fontId="1" numFmtId="3" xfId="0" applyAlignment="1" applyFont="1" applyNumberFormat="1">
      <alignment vertical="bottom"/>
    </xf>
    <xf borderId="4" fillId="0" fontId="8" numFmtId="3" xfId="0" applyAlignment="1" applyBorder="1" applyFont="1" applyNumberFormat="1">
      <alignment vertical="bottom"/>
    </xf>
    <xf borderId="13" fillId="12" fontId="1" numFmtId="3" xfId="0" applyAlignment="1" applyBorder="1" applyFont="1" applyNumberFormat="1">
      <alignment vertical="bottom"/>
    </xf>
    <xf borderId="4" fillId="9" fontId="5" numFmtId="164" xfId="0" applyAlignment="1" applyBorder="1" applyFont="1" applyNumberFormat="1">
      <alignment horizontal="center" readingOrder="0"/>
    </xf>
    <xf borderId="4" fillId="9" fontId="1" numFmtId="3" xfId="0" applyAlignment="1" applyBorder="1" applyFont="1" applyNumberFormat="1">
      <alignment horizontal="left"/>
    </xf>
    <xf borderId="13" fillId="12" fontId="1" numFmtId="3" xfId="0" applyAlignment="1" applyBorder="1" applyFont="1" applyNumberFormat="1">
      <alignment horizontal="center" vertical="bottom"/>
    </xf>
    <xf borderId="14" fillId="12" fontId="1" numFmtId="164" xfId="0" applyAlignment="1" applyBorder="1" applyFont="1" applyNumberFormat="1">
      <alignment vertical="bottom"/>
    </xf>
    <xf borderId="5" fillId="6" fontId="1" numFmtId="164" xfId="0" applyAlignment="1" applyBorder="1" applyFont="1" applyNumberFormat="1">
      <alignment vertical="bottom"/>
    </xf>
    <xf borderId="16" fillId="4" fontId="8" numFmtId="3" xfId="0" applyAlignment="1" applyBorder="1" applyFont="1" applyNumberFormat="1">
      <alignment horizontal="center" vertical="bottom"/>
    </xf>
    <xf borderId="4" fillId="5" fontId="1" numFmtId="3" xfId="0" applyAlignment="1" applyBorder="1" applyFont="1" applyNumberFormat="1">
      <alignment horizontal="center" vertical="bottom"/>
    </xf>
    <xf borderId="11" fillId="0" fontId="1" numFmtId="164" xfId="0" applyAlignment="1" applyBorder="1" applyFont="1" applyNumberFormat="1">
      <alignment horizontal="center" vertical="bottom"/>
    </xf>
    <xf borderId="16" fillId="4" fontId="8" numFmtId="3" xfId="0" applyAlignment="1" applyBorder="1" applyFont="1" applyNumberFormat="1">
      <alignment horizontal="center" readingOrder="0" vertical="bottom"/>
    </xf>
    <xf borderId="0" fillId="6" fontId="8" numFmtId="3" xfId="0" applyAlignment="1" applyFont="1" applyNumberFormat="1">
      <alignment horizontal="left" readingOrder="0"/>
    </xf>
    <xf borderId="16" fillId="4" fontId="1" numFmtId="3" xfId="0" applyAlignment="1" applyBorder="1" applyFont="1" applyNumberFormat="1">
      <alignment horizontal="center" vertical="bottom"/>
    </xf>
    <xf borderId="4" fillId="5" fontId="8" numFmtId="3" xfId="0" applyAlignment="1" applyBorder="1" applyFont="1" applyNumberFormat="1">
      <alignment horizontal="center" readingOrder="0" vertical="bottom"/>
    </xf>
    <xf borderId="11" fillId="0" fontId="1" numFmtId="164" xfId="0" applyAlignment="1" applyBorder="1" applyFont="1" applyNumberFormat="1">
      <alignment horizontal="center" readingOrder="0" vertical="bottom"/>
    </xf>
    <xf borderId="16" fillId="4" fontId="5" numFmtId="3" xfId="0" applyAlignment="1" applyBorder="1" applyFont="1" applyNumberFormat="1">
      <alignment horizontal="center" vertical="bottom"/>
    </xf>
    <xf borderId="0" fillId="18" fontId="1" numFmtId="164" xfId="0" applyAlignment="1" applyFont="1" applyNumberFormat="1">
      <alignment vertical="bottom"/>
    </xf>
    <xf borderId="4" fillId="18" fontId="6" numFmtId="3" xfId="0" applyAlignment="1" applyBorder="1" applyFont="1" applyNumberFormat="1">
      <alignment vertical="bottom"/>
    </xf>
    <xf borderId="8" fillId="18" fontId="1" numFmtId="3" xfId="0" applyAlignment="1" applyBorder="1" applyFont="1" applyNumberFormat="1">
      <alignment horizontal="center" vertical="bottom"/>
    </xf>
    <xf borderId="7" fillId="18" fontId="1" numFmtId="3" xfId="0" applyAlignment="1" applyBorder="1" applyFont="1" applyNumberFormat="1">
      <alignment horizontal="center" vertical="bottom"/>
    </xf>
    <xf borderId="4" fillId="12" fontId="1" numFmtId="3" xfId="0" applyAlignment="1" applyBorder="1" applyFont="1" applyNumberFormat="1">
      <alignment vertical="bottom"/>
    </xf>
    <xf borderId="8" fillId="12" fontId="1" numFmtId="3" xfId="0" applyAlignment="1" applyBorder="1" applyFont="1" applyNumberFormat="1">
      <alignment horizontal="center" vertical="bottom"/>
    </xf>
    <xf borderId="7" fillId="12" fontId="1" numFmtId="3" xfId="0" applyAlignment="1" applyBorder="1" applyFont="1" applyNumberFormat="1">
      <alignment horizontal="center" vertical="bottom"/>
    </xf>
    <xf borderId="8" fillId="4" fontId="1" numFmtId="3" xfId="0" applyAlignment="1" applyBorder="1" applyFont="1" applyNumberFormat="1">
      <alignment horizontal="center" vertical="bottom"/>
    </xf>
    <xf borderId="13" fillId="12" fontId="1" numFmtId="3" xfId="0" applyAlignment="1" applyBorder="1" applyFont="1" applyNumberFormat="1">
      <alignment readingOrder="0" vertical="bottom"/>
    </xf>
    <xf borderId="13" fillId="5" fontId="1" numFmtId="3" xfId="0" applyAlignment="1" applyBorder="1" applyFont="1" applyNumberFormat="1">
      <alignment horizontal="center" vertical="bottom"/>
    </xf>
    <xf borderId="8" fillId="0" fontId="1" numFmtId="164" xfId="0" applyAlignment="1" applyBorder="1" applyFont="1" applyNumberFormat="1">
      <alignment horizontal="center" readingOrder="0" vertical="bottom"/>
    </xf>
    <xf borderId="7" fillId="0" fontId="1" numFmtId="3" xfId="0" applyAlignment="1" applyBorder="1" applyFont="1" applyNumberFormat="1">
      <alignment readingOrder="0" vertical="bottom"/>
    </xf>
    <xf borderId="2" fillId="18" fontId="1" numFmtId="164" xfId="0" applyAlignment="1" applyBorder="1" applyFont="1" applyNumberFormat="1">
      <alignment horizontal="center" vertical="bottom"/>
    </xf>
    <xf borderId="4" fillId="0" fontId="7" numFmtId="3" xfId="0" applyAlignment="1" applyBorder="1" applyFont="1" applyNumberFormat="1">
      <alignment horizontal="left" readingOrder="0"/>
    </xf>
    <xf borderId="4" fillId="11" fontId="1" numFmtId="164" xfId="0" applyAlignment="1" applyBorder="1" applyFont="1" applyNumberFormat="1">
      <alignment horizontal="center"/>
    </xf>
    <xf borderId="7" fillId="11" fontId="7" numFmtId="3" xfId="0" applyAlignment="1" applyBorder="1" applyFont="1" applyNumberFormat="1">
      <alignment vertical="bottom"/>
    </xf>
    <xf borderId="7" fillId="11" fontId="1" numFmtId="3" xfId="0" applyAlignment="1" applyBorder="1" applyFont="1" applyNumberFormat="1">
      <alignment horizontal="center" vertical="bottom"/>
    </xf>
    <xf borderId="8" fillId="11" fontId="1" numFmtId="164" xfId="0" applyAlignment="1" applyBorder="1" applyFont="1" applyNumberFormat="1">
      <alignment vertical="bottom"/>
    </xf>
    <xf borderId="6" fillId="12" fontId="8" numFmtId="3" xfId="0" applyAlignment="1" applyBorder="1" applyFont="1" applyNumberFormat="1">
      <alignment horizontal="center" vertical="bottom"/>
    </xf>
    <xf borderId="7" fillId="12" fontId="8" numFmtId="3" xfId="0" applyAlignment="1" applyBorder="1" applyFont="1" applyNumberFormat="1">
      <alignment horizontal="center" vertical="bottom"/>
    </xf>
    <xf borderId="4" fillId="3" fontId="5" numFmtId="164" xfId="0" applyAlignment="1" applyBorder="1" applyFont="1" applyNumberFormat="1">
      <alignment horizontal="center" shrinkToFit="0" wrapText="1"/>
    </xf>
    <xf borderId="4" fillId="12" fontId="8" numFmtId="3" xfId="0" applyAlignment="1" applyBorder="1" applyFont="1" applyNumberFormat="1">
      <alignment horizontal="left" shrinkToFit="0" wrapText="1"/>
    </xf>
    <xf borderId="6" fillId="3" fontId="8" numFmtId="3" xfId="0" applyAlignment="1" applyBorder="1" applyFont="1" applyNumberFormat="1">
      <alignment horizontal="center" shrinkToFit="0" vertical="bottom" wrapText="1"/>
    </xf>
    <xf borderId="7" fillId="3" fontId="8" numFmtId="3" xfId="0" applyAlignment="1" applyBorder="1" applyFont="1" applyNumberFormat="1">
      <alignment horizontal="center" shrinkToFit="0" vertical="bottom" wrapText="1"/>
    </xf>
    <xf borderId="4" fillId="6" fontId="8" numFmtId="164" xfId="0" applyAlignment="1" applyBorder="1" applyFont="1" applyNumberFormat="1">
      <alignment horizontal="center" shrinkToFit="0" wrapText="1"/>
    </xf>
    <xf borderId="4" fillId="6" fontId="8" numFmtId="3" xfId="0" applyAlignment="1" applyBorder="1" applyFont="1" applyNumberFormat="1">
      <alignment horizontal="left" shrinkToFit="0" wrapText="1"/>
    </xf>
    <xf borderId="4" fillId="6" fontId="5" numFmtId="3" xfId="0" applyAlignment="1" applyBorder="1" applyFont="1" applyNumberFormat="1">
      <alignment horizontal="left" shrinkToFit="0" wrapText="1"/>
    </xf>
    <xf borderId="4" fillId="13" fontId="1" numFmtId="164" xfId="0" applyAlignment="1" applyBorder="1" applyFont="1" applyNumberFormat="1">
      <alignment horizontal="center"/>
    </xf>
    <xf borderId="4" fillId="13" fontId="5" numFmtId="3" xfId="0" applyAlignment="1" applyBorder="1" applyFont="1" applyNumberFormat="1">
      <alignment horizontal="left"/>
    </xf>
    <xf borderId="6" fillId="13" fontId="1" numFmtId="3" xfId="0" applyAlignment="1" applyBorder="1" applyFont="1" applyNumberFormat="1">
      <alignment horizontal="center" vertical="bottom"/>
    </xf>
    <xf borderId="5" fillId="13" fontId="1" numFmtId="164" xfId="0" applyAlignment="1" applyBorder="1" applyFont="1" applyNumberFormat="1">
      <alignment horizontal="center" vertical="bottom"/>
    </xf>
    <xf borderId="6" fillId="2" fontId="1" numFmtId="3" xfId="0" applyAlignment="1" applyBorder="1" applyFont="1" applyNumberFormat="1">
      <alignment horizontal="center" vertical="bottom"/>
    </xf>
    <xf borderId="7" fillId="2" fontId="1" numFmtId="3" xfId="0" applyAlignment="1" applyBorder="1" applyFont="1" applyNumberFormat="1">
      <alignment vertical="bottom"/>
    </xf>
    <xf borderId="4" fillId="3" fontId="5" numFmtId="164" xfId="0" applyAlignment="1" applyBorder="1" applyFont="1" applyNumberFormat="1">
      <alignment horizontal="center" readingOrder="0" shrinkToFit="0" wrapText="1"/>
    </xf>
    <xf borderId="7" fillId="6" fontId="1" numFmtId="164" xfId="0" applyAlignment="1" applyBorder="1" applyFont="1" applyNumberFormat="1">
      <alignment horizontal="center" vertical="bottom"/>
    </xf>
    <xf borderId="7" fillId="4" fontId="11" numFmtId="3" xfId="0" applyAlignment="1" applyBorder="1" applyFont="1" applyNumberFormat="1">
      <alignment horizontal="center" vertical="bottom"/>
    </xf>
    <xf borderId="7" fillId="0" fontId="11" numFmtId="164" xfId="0" applyAlignment="1" applyBorder="1" applyFont="1" applyNumberFormat="1">
      <alignment horizontal="center" vertical="bottom"/>
    </xf>
    <xf borderId="7" fillId="5" fontId="1" numFmtId="3" xfId="0" applyAlignment="1" applyBorder="1" applyFont="1" applyNumberFormat="1">
      <alignment horizontal="center" readingOrder="0" shrinkToFit="0" vertical="bottom" wrapText="1"/>
    </xf>
    <xf borderId="6" fillId="12" fontId="7" numFmtId="3" xfId="0" applyAlignment="1" applyBorder="1" applyFont="1" applyNumberFormat="1">
      <alignment horizontal="center" vertical="bottom"/>
    </xf>
    <xf borderId="7" fillId="12" fontId="7" numFmtId="3" xfId="0" applyAlignment="1" applyBorder="1" applyFont="1" applyNumberFormat="1">
      <alignment horizontal="center" vertical="bottom"/>
    </xf>
    <xf borderId="15" fillId="2" fontId="6" numFmtId="164" xfId="0" applyAlignment="1" applyBorder="1" applyFont="1" applyNumberFormat="1">
      <alignment horizontal="center"/>
    </xf>
    <xf borderId="6" fillId="10" fontId="7" numFmtId="3" xfId="0" applyAlignment="1" applyBorder="1" applyFont="1" applyNumberFormat="1">
      <alignment horizontal="center" vertical="bottom"/>
    </xf>
    <xf borderId="16" fillId="4" fontId="12" numFmtId="3" xfId="0" applyAlignment="1" applyBorder="1" applyFont="1" applyNumberFormat="1">
      <alignment horizontal="center" vertical="bottom"/>
    </xf>
    <xf borderId="13" fillId="5" fontId="13" numFmtId="3" xfId="0" applyAlignment="1" applyBorder="1" applyFont="1" applyNumberFormat="1">
      <alignment vertical="bottom"/>
    </xf>
    <xf borderId="14" fillId="0" fontId="12" numFmtId="164" xfId="0" applyAlignment="1" applyBorder="1" applyFont="1" applyNumberFormat="1">
      <alignment horizontal="center" vertical="bottom"/>
    </xf>
    <xf borderId="6" fillId="4" fontId="12" numFmtId="3" xfId="0" applyAlignment="1" applyBorder="1" applyFont="1" applyNumberFormat="1">
      <alignment horizontal="center" vertical="bottom"/>
    </xf>
    <xf borderId="7" fillId="5" fontId="13" numFmtId="3" xfId="0" applyAlignment="1" applyBorder="1" applyFont="1" applyNumberFormat="1">
      <alignment vertical="bottom"/>
    </xf>
    <xf borderId="5" fillId="0" fontId="12" numFmtId="164" xfId="0" applyAlignment="1" applyBorder="1" applyFont="1" applyNumberFormat="1">
      <alignment horizontal="center" vertical="bottom"/>
    </xf>
    <xf borderId="9" fillId="3" fontId="8" numFmtId="3" xfId="0" applyAlignment="1" applyBorder="1" applyFont="1" applyNumberFormat="1">
      <alignment horizontal="center" vertical="bottom"/>
    </xf>
    <xf borderId="9" fillId="10" fontId="8" numFmtId="3" xfId="0" applyAlignment="1" applyBorder="1" applyFont="1" applyNumberFormat="1">
      <alignment horizontal="center" readingOrder="0" vertical="bottom"/>
    </xf>
    <xf borderId="4" fillId="0" fontId="5" numFmtId="3" xfId="0" applyAlignment="1" applyBorder="1" applyFont="1" applyNumberFormat="1">
      <alignment horizontal="left" readingOrder="0"/>
    </xf>
    <xf borderId="7" fillId="5" fontId="5" numFmtId="3" xfId="0" applyAlignment="1" applyBorder="1" applyFont="1" applyNumberFormat="1">
      <alignment horizontal="center" readingOrder="0" vertical="bottom"/>
    </xf>
    <xf borderId="4" fillId="9" fontId="7" numFmtId="3" xfId="0" applyAlignment="1" applyBorder="1" applyFont="1" applyNumberFormat="1">
      <alignment horizontal="left" readingOrder="0"/>
    </xf>
    <xf borderId="4" fillId="12" fontId="5" numFmtId="164" xfId="0" applyAlignment="1" applyBorder="1" applyFont="1" applyNumberFormat="1">
      <alignment horizontal="center" readingOrder="0"/>
    </xf>
    <xf borderId="4" fillId="6" fontId="5" numFmtId="3" xfId="0" applyAlignment="1" applyBorder="1" applyFont="1" applyNumberFormat="1">
      <alignment horizontal="left"/>
    </xf>
    <xf borderId="4" fillId="12" fontId="5" numFmtId="3" xfId="0" applyAlignment="1" applyBorder="1" applyFont="1" applyNumberFormat="1">
      <alignment horizontal="left"/>
    </xf>
    <xf borderId="5" fillId="19" fontId="1" numFmtId="164" xfId="0" applyAlignment="1" applyBorder="1" applyFill="1" applyFont="1" applyNumberFormat="1">
      <alignment horizontal="center" vertical="bottom"/>
    </xf>
    <xf borderId="4" fillId="12" fontId="5" numFmtId="3" xfId="0" applyAlignment="1" applyBorder="1" applyFont="1" applyNumberFormat="1">
      <alignment horizontal="left" readingOrder="0"/>
    </xf>
    <xf borderId="17" fillId="9" fontId="7" numFmtId="3" xfId="0" applyAlignment="1" applyBorder="1" applyFont="1" applyNumberFormat="1">
      <alignment vertical="bottom"/>
    </xf>
    <xf borderId="2" fillId="0" fontId="1" numFmtId="3" xfId="0" applyAlignment="1" applyBorder="1" applyFont="1" applyNumberFormat="1">
      <alignment vertical="bottom"/>
    </xf>
    <xf borderId="8" fillId="0" fontId="8" numFmtId="164" xfId="0" applyAlignment="1" applyBorder="1" applyFont="1" applyNumberFormat="1">
      <alignment horizontal="center" vertical="bottom"/>
    </xf>
    <xf borderId="1" fillId="2" fontId="1" numFmtId="3" xfId="0" applyAlignment="1" applyBorder="1" applyFont="1" applyNumberFormat="1">
      <alignment horizontal="center" vertical="bottom"/>
    </xf>
    <xf borderId="4" fillId="3" fontId="5" numFmtId="49" xfId="0" applyAlignment="1" applyBorder="1" applyFont="1" applyNumberFormat="1">
      <alignment horizontal="left"/>
    </xf>
    <xf borderId="5" fillId="0" fontId="14" numFmtId="3" xfId="0" applyAlignment="1" applyBorder="1" applyFont="1" applyNumberFormat="1">
      <alignment horizontal="center" vertical="bottom"/>
    </xf>
    <xf borderId="18" fillId="7" fontId="7" numFmtId="3" xfId="0" applyAlignment="1" applyBorder="1" applyFont="1" applyNumberFormat="1">
      <alignment horizontal="center" vertical="bottom"/>
    </xf>
    <xf borderId="5" fillId="7" fontId="8" numFmtId="164" xfId="0" applyAlignment="1" applyBorder="1" applyFont="1" applyNumberFormat="1">
      <alignment horizontal="center" vertical="bottom"/>
    </xf>
    <xf borderId="6" fillId="7" fontId="7" numFmtId="3" xfId="0" applyAlignment="1" applyBorder="1" applyFont="1" applyNumberFormat="1">
      <alignment horizontal="center" vertical="bottom"/>
    </xf>
    <xf borderId="4" fillId="9" fontId="7" numFmtId="3" xfId="0" applyAlignment="1" applyBorder="1" applyFont="1" applyNumberFormat="1">
      <alignment horizontal="left" shrinkToFit="0" wrapText="0"/>
    </xf>
    <xf borderId="4" fillId="9" fontId="7" numFmtId="164" xfId="0" applyAlignment="1" applyBorder="1" applyFont="1" applyNumberFormat="1">
      <alignment horizontal="center" readingOrder="0"/>
    </xf>
    <xf borderId="19" fillId="0" fontId="12" numFmtId="164" xfId="0" applyAlignment="1" applyBorder="1" applyFont="1" applyNumberFormat="1">
      <alignment horizontal="center" vertical="bottom"/>
    </xf>
    <xf borderId="20" fillId="0" fontId="12" numFmtId="164" xfId="0" applyAlignment="1" applyBorder="1" applyFont="1" applyNumberFormat="1">
      <alignment horizontal="center" vertical="bottom"/>
    </xf>
    <xf borderId="7" fillId="12" fontId="1" numFmtId="3" xfId="0" applyAlignment="1" applyBorder="1" applyFont="1" applyNumberFormat="1">
      <alignment horizontal="right" vertical="bottom"/>
    </xf>
    <xf borderId="4" fillId="12" fontId="1" numFmtId="164" xfId="0" applyAlignment="1" applyBorder="1" applyFont="1" applyNumberFormat="1">
      <alignment horizontal="center"/>
    </xf>
    <xf borderId="0" fillId="6" fontId="1" numFmtId="164" xfId="0" applyAlignment="1" applyFont="1" applyNumberFormat="1">
      <alignment horizontal="right" vertical="bottom"/>
    </xf>
    <xf borderId="4" fillId="6" fontId="1" numFmtId="164" xfId="0" applyAlignment="1" applyBorder="1" applyFont="1" applyNumberFormat="1">
      <alignment horizontal="right" vertical="bottom"/>
    </xf>
    <xf borderId="4" fillId="6" fontId="1" numFmtId="164" xfId="0" applyAlignment="1" applyBorder="1" applyFont="1" applyNumberFormat="1">
      <alignment horizontal="right" readingOrder="0" vertical="bottom"/>
    </xf>
    <xf borderId="4" fillId="0" fontId="5" numFmtId="3" xfId="0" applyAlignment="1" applyBorder="1" applyFont="1" applyNumberFormat="1">
      <alignment vertical="bottom"/>
    </xf>
    <xf borderId="5" fillId="3" fontId="1" numFmtId="3" xfId="0" applyAlignment="1" applyBorder="1" applyFont="1" applyNumberFormat="1">
      <alignment horizontal="center" vertical="bottom"/>
    </xf>
    <xf borderId="6" fillId="6" fontId="1" numFmtId="3" xfId="0" applyAlignment="1" applyBorder="1" applyFont="1" applyNumberFormat="1">
      <alignment horizontal="center" vertical="bottom"/>
    </xf>
    <xf borderId="7" fillId="0" fontId="1" numFmtId="1" xfId="0" applyAlignment="1" applyBorder="1" applyFont="1" applyNumberFormat="1">
      <alignment vertical="bottom"/>
    </xf>
    <xf borderId="4" fillId="0" fontId="7" numFmtId="3" xfId="0" applyAlignment="1" applyBorder="1" applyFont="1" applyNumberFormat="1">
      <alignment horizontal="left" vertical="bottom"/>
    </xf>
    <xf borderId="7" fillId="0" fontId="1" numFmtId="3" xfId="0" applyBorder="1" applyFont="1" applyNumberFormat="1"/>
    <xf borderId="4" fillId="3" fontId="5" numFmtId="49" xfId="0" applyAlignment="1" applyBorder="1" applyFont="1" applyNumberFormat="1">
      <alignment horizontal="left" readingOrder="0"/>
    </xf>
    <xf borderId="4" fillId="0" fontId="1" numFmtId="3" xfId="0" applyAlignment="1" applyBorder="1" applyFont="1" applyNumberFormat="1">
      <alignment horizontal="left" readingOrder="0" vertical="bottom"/>
    </xf>
    <xf borderId="4" fillId="0" fontId="7" numFmtId="164" xfId="0" applyAlignment="1" applyBorder="1" applyFont="1" applyNumberFormat="1">
      <alignment horizontal="center" vertical="bottom"/>
    </xf>
    <xf borderId="13" fillId="3" fontId="5" numFmtId="49" xfId="0" applyAlignment="1" applyBorder="1" applyFont="1" applyNumberFormat="1">
      <alignment vertical="bottom"/>
    </xf>
    <xf borderId="9" fillId="3" fontId="1" numFmtId="49" xfId="0" applyAlignment="1" applyBorder="1" applyFont="1" applyNumberFormat="1">
      <alignment horizontal="center" vertical="bottom"/>
    </xf>
    <xf borderId="7" fillId="3" fontId="1" numFmtId="49" xfId="0" applyAlignment="1" applyBorder="1" applyFont="1" applyNumberFormat="1">
      <alignment vertical="bottom"/>
    </xf>
    <xf borderId="5" fillId="3" fontId="1" numFmtId="49" xfId="0" applyAlignment="1" applyBorder="1" applyFont="1" applyNumberFormat="1">
      <alignment horizontal="center" vertical="bottom"/>
    </xf>
    <xf borderId="8" fillId="4" fontId="8" numFmtId="3" xfId="0" applyAlignment="1" applyBorder="1" applyFont="1" applyNumberFormat="1">
      <alignment horizontal="center" vertical="bottom"/>
    </xf>
    <xf borderId="7" fillId="3" fontId="7" numFmtId="10" xfId="0" applyAlignment="1" applyBorder="1" applyFont="1" applyNumberFormat="1">
      <alignment horizontal="center" vertical="bottom"/>
    </xf>
    <xf borderId="21" fillId="4" fontId="8" numFmtId="3" xfId="0" applyAlignment="1" applyBorder="1" applyFont="1" applyNumberFormat="1">
      <alignment horizontal="center" readingOrder="0" vertical="bottom"/>
    </xf>
    <xf borderId="21" fillId="4" fontId="8" numFmtId="3" xfId="0" applyAlignment="1" applyBorder="1" applyFont="1" applyNumberFormat="1">
      <alignment horizontal="center" vertical="bottom"/>
    </xf>
    <xf borderId="21" fillId="4" fontId="1" numFmtId="3" xfId="0" applyAlignment="1" applyBorder="1" applyFont="1" applyNumberFormat="1">
      <alignment horizontal="center" vertical="bottom"/>
    </xf>
    <xf borderId="7" fillId="5" fontId="15" numFmtId="3" xfId="0" applyAlignment="1" applyBorder="1" applyFont="1" applyNumberFormat="1">
      <alignment horizontal="center" vertical="bottom"/>
    </xf>
    <xf borderId="5" fillId="9" fontId="5" numFmtId="164" xfId="0" applyAlignment="1" applyBorder="1" applyFont="1" applyNumberFormat="1">
      <alignment horizontal="center" vertical="bottom"/>
    </xf>
    <xf borderId="13" fillId="2" fontId="6" numFmtId="3" xfId="0" applyAlignment="1" applyBorder="1" applyFont="1" applyNumberFormat="1">
      <alignment vertical="bottom"/>
    </xf>
    <xf borderId="22" fillId="0" fontId="1" numFmtId="3" xfId="0" applyAlignment="1" applyBorder="1" applyFont="1" applyNumberFormat="1">
      <alignment readingOrder="0" vertical="bottom"/>
    </xf>
    <xf borderId="7" fillId="5" fontId="16" numFmtId="3" xfId="0" applyAlignment="1" applyBorder="1" applyFont="1" applyNumberFormat="1">
      <alignment horizontal="center" readingOrder="0" vertical="bottom"/>
    </xf>
    <xf borderId="5" fillId="0" fontId="16" numFmtId="164" xfId="0" applyAlignment="1" applyBorder="1" applyFont="1" applyNumberFormat="1">
      <alignment horizontal="center" vertical="bottom"/>
    </xf>
    <xf borderId="4" fillId="0" fontId="1" numFmtId="3" xfId="0" applyAlignment="1" applyBorder="1" applyFont="1" applyNumberFormat="1">
      <alignment horizontal="left" readingOrder="0"/>
    </xf>
    <xf borderId="22" fillId="0" fontId="1" numFmtId="3" xfId="0" applyAlignment="1" applyBorder="1" applyFont="1" applyNumberFormat="1">
      <alignment horizontal="left" readingOrder="0"/>
    </xf>
    <xf borderId="0" fillId="9" fontId="7" numFmtId="164" xfId="0" applyAlignment="1" applyFont="1" applyNumberFormat="1">
      <alignment horizontal="center" readingOrder="0" vertical="bottom"/>
    </xf>
    <xf borderId="4" fillId="6" fontId="1" numFmtId="164" xfId="0" applyAlignment="1" applyBorder="1" applyFont="1" applyNumberFormat="1">
      <alignment horizontal="center" vertical="bottom"/>
    </xf>
    <xf borderId="7" fillId="6" fontId="1" numFmtId="3" xfId="0" applyAlignment="1" applyBorder="1" applyFont="1" applyNumberFormat="1">
      <alignment horizontal="center" vertical="bottom"/>
    </xf>
    <xf borderId="18" fillId="9" fontId="7" numFmtId="3" xfId="0" applyAlignment="1" applyBorder="1" applyFont="1" applyNumberFormat="1">
      <alignment horizontal="center" vertical="bottom"/>
    </xf>
    <xf borderId="4" fillId="2" fontId="6" numFmtId="164" xfId="0" applyAlignment="1" applyBorder="1" applyFont="1" applyNumberFormat="1">
      <alignment horizontal="center" vertical="bottom"/>
    </xf>
    <xf borderId="4" fillId="2" fontId="6" numFmtId="3" xfId="0" applyAlignment="1" applyBorder="1" applyFont="1" applyNumberFormat="1">
      <alignment horizontal="left" readingOrder="0" vertical="bottom"/>
    </xf>
    <xf borderId="4" fillId="3" fontId="5" numFmtId="49" xfId="0" applyAlignment="1" applyBorder="1" applyFont="1" applyNumberFormat="1">
      <alignment horizontal="left" vertical="bottom"/>
    </xf>
    <xf borderId="4" fillId="0" fontId="8" numFmtId="164" xfId="0" applyAlignment="1" applyBorder="1" applyFont="1" applyNumberFormat="1">
      <alignment horizontal="center" readingOrder="0" vertical="bottom"/>
    </xf>
    <xf borderId="4" fillId="0" fontId="8" numFmtId="3" xfId="0" applyAlignment="1" applyBorder="1" applyFont="1" applyNumberFormat="1">
      <alignment horizontal="left" readingOrder="0" vertical="bottom"/>
    </xf>
    <xf borderId="4" fillId="0" fontId="1" numFmtId="3" xfId="0" applyAlignment="1" applyBorder="1" applyFont="1" applyNumberFormat="1">
      <alignment horizontal="left" vertical="top"/>
    </xf>
    <xf borderId="4" fillId="3" fontId="5" numFmtId="49" xfId="0" applyAlignment="1" applyBorder="1" applyFont="1" applyNumberFormat="1">
      <alignment horizontal="left" readingOrder="0" vertical="bottom"/>
    </xf>
    <xf borderId="4" fillId="6" fontId="1" numFmtId="3" xfId="0" applyAlignment="1" applyBorder="1" applyFont="1" applyNumberFormat="1">
      <alignment horizontal="left" vertical="bottom"/>
    </xf>
    <xf borderId="7" fillId="11" fontId="1" numFmtId="10" xfId="0" applyAlignment="1" applyBorder="1" applyFont="1" applyNumberFormat="1">
      <alignment vertical="bottom"/>
    </xf>
    <xf borderId="4" fillId="2" fontId="1" numFmtId="164" xfId="0" applyBorder="1" applyFont="1" applyNumberFormat="1"/>
    <xf borderId="4" fillId="2" fontId="6" numFmtId="3" xfId="0" applyBorder="1" applyFont="1" applyNumberFormat="1"/>
    <xf borderId="4" fillId="9" fontId="5" numFmtId="164" xfId="0" applyAlignment="1" applyBorder="1" applyFont="1" applyNumberFormat="1">
      <alignment horizontal="center"/>
    </xf>
    <xf borderId="4" fillId="9" fontId="7" numFmtId="3" xfId="0" applyBorder="1" applyFont="1" applyNumberFormat="1"/>
    <xf borderId="4" fillId="0" fontId="8" numFmtId="3" xfId="0" applyBorder="1" applyFont="1" applyNumberFormat="1"/>
    <xf borderId="4" fillId="6" fontId="1" numFmtId="164" xfId="0" applyBorder="1" applyFont="1" applyNumberFormat="1"/>
    <xf borderId="4" fillId="6" fontId="5" numFmtId="3" xfId="0" applyBorder="1" applyFont="1" applyNumberFormat="1"/>
    <xf borderId="4" fillId="6" fontId="7" numFmtId="3" xfId="0" applyBorder="1" applyFont="1" applyNumberFormat="1"/>
    <xf borderId="4" fillId="9" fontId="14" numFmtId="3" xfId="0" applyBorder="1" applyFont="1" applyNumberFormat="1"/>
    <xf borderId="4" fillId="0" fontId="5" numFmtId="3" xfId="0" applyBorder="1" applyFont="1" applyNumberFormat="1"/>
    <xf borderId="4" fillId="13" fontId="1" numFmtId="164" xfId="0" applyBorder="1" applyFont="1" applyNumberFormat="1"/>
    <xf borderId="4" fillId="13" fontId="5" numFmtId="3" xfId="0" applyBorder="1" applyFont="1" applyNumberFormat="1"/>
    <xf borderId="7" fillId="13" fontId="1" numFmtId="3" xfId="0" applyAlignment="1" applyBorder="1" applyFont="1" applyNumberFormat="1">
      <alignment vertical="bottom"/>
    </xf>
    <xf borderId="4" fillId="0" fontId="6" numFmtId="3" xfId="0" applyAlignment="1" applyBorder="1" applyFont="1" applyNumberFormat="1">
      <alignment horizontal="left"/>
    </xf>
    <xf borderId="4" fillId="2" fontId="6" numFmtId="3" xfId="0" applyAlignment="1" applyBorder="1" applyFont="1" applyNumberFormat="1">
      <alignment horizontal="left" vertical="bottom"/>
    </xf>
    <xf borderId="2" fillId="2" fontId="1" numFmtId="164" xfId="0" applyAlignment="1" applyBorder="1" applyFont="1" applyNumberFormat="1">
      <alignment horizontal="center" vertical="bottom"/>
    </xf>
    <xf borderId="6" fillId="3" fontId="7" numFmtId="3" xfId="0" applyAlignment="1" applyBorder="1" applyFont="1" applyNumberFormat="1">
      <alignment horizontal="center" vertical="bottom"/>
    </xf>
    <xf borderId="7" fillId="3" fontId="7" numFmtId="3" xfId="0" applyAlignment="1" applyBorder="1" applyFont="1" applyNumberFormat="1">
      <alignment horizontal="center" vertical="bottom"/>
    </xf>
    <xf borderId="4" fillId="3" fontId="7" numFmtId="10" xfId="0" applyAlignment="1" applyBorder="1" applyFont="1" applyNumberFormat="1">
      <alignment horizontal="left"/>
    </xf>
    <xf borderId="4" fillId="3" fontId="9" numFmtId="10" xfId="0" applyAlignment="1" applyBorder="1" applyFont="1" applyNumberFormat="1">
      <alignment vertical="bottom"/>
    </xf>
    <xf borderId="7" fillId="3" fontId="17" numFmtId="3" xfId="0" applyAlignment="1" applyBorder="1" applyFont="1" applyNumberFormat="1">
      <alignment horizontal="center" readingOrder="0" vertical="bottom"/>
    </xf>
    <xf borderId="4" fillId="3" fontId="9" numFmtId="10" xfId="0" applyAlignment="1" applyBorder="1" applyFont="1" applyNumberFormat="1">
      <alignment horizontal="left"/>
    </xf>
    <xf borderId="4" fillId="3" fontId="7" numFmtId="165" xfId="0" applyAlignment="1" applyBorder="1" applyFont="1" applyNumberFormat="1">
      <alignment horizontal="left" shrinkToFit="0" wrapText="0"/>
    </xf>
    <xf borderId="6" fillId="3" fontId="7" numFmtId="10" xfId="0" applyAlignment="1" applyBorder="1" applyFont="1" applyNumberFormat="1">
      <alignment horizontal="center" vertical="bottom"/>
    </xf>
    <xf borderId="4" fillId="3" fontId="7" numFmtId="10" xfId="0" applyAlignment="1" applyBorder="1" applyFont="1" applyNumberFormat="1">
      <alignment horizontal="left" shrinkToFit="0" wrapText="0"/>
    </xf>
    <xf borderId="0" fillId="0" fontId="1" numFmtId="0" xfId="0" applyFont="1"/>
    <xf borderId="0" fillId="0" fontId="18" numFmtId="0" xfId="0" applyAlignment="1" applyFont="1">
      <alignment vertical="bottom"/>
    </xf>
    <xf borderId="23" fillId="0" fontId="18" numFmtId="0" xfId="0" applyAlignment="1" applyBorder="1" applyFont="1">
      <alignment vertical="bottom"/>
    </xf>
    <xf borderId="24" fillId="0" fontId="18" numFmtId="0" xfId="0" applyAlignment="1" applyBorder="1" applyFont="1">
      <alignment vertical="bottom"/>
    </xf>
    <xf borderId="24" fillId="0" fontId="18" numFmtId="3" xfId="0" applyAlignment="1" applyBorder="1" applyFont="1" applyNumberFormat="1">
      <alignment vertical="bottom"/>
    </xf>
    <xf borderId="24" fillId="0" fontId="18" numFmtId="166" xfId="0" applyAlignment="1" applyBorder="1" applyFont="1" applyNumberFormat="1">
      <alignment vertical="bottom"/>
    </xf>
    <xf borderId="25" fillId="0" fontId="18" numFmtId="0" xfId="0" applyAlignment="1" applyBorder="1" applyFont="1">
      <alignment vertical="bottom"/>
    </xf>
    <xf borderId="2" fillId="0" fontId="18" numFmtId="0" xfId="0" applyAlignment="1" applyBorder="1" applyFont="1">
      <alignment vertical="bottom"/>
    </xf>
    <xf borderId="0" fillId="20" fontId="19" numFmtId="0" xfId="0" applyAlignment="1" applyFill="1" applyFont="1">
      <alignment vertical="bottom"/>
    </xf>
    <xf borderId="26" fillId="20" fontId="19" numFmtId="0" xfId="0" applyAlignment="1" applyBorder="1" applyFont="1">
      <alignment vertical="bottom"/>
    </xf>
    <xf borderId="27" fillId="20" fontId="19" numFmtId="0" xfId="0" applyAlignment="1" applyBorder="1" applyFont="1">
      <alignment vertical="bottom"/>
    </xf>
    <xf borderId="27" fillId="13" fontId="19" numFmtId="3" xfId="0" applyAlignment="1" applyBorder="1" applyFont="1" applyNumberFormat="1">
      <alignment vertical="bottom"/>
    </xf>
    <xf borderId="27" fillId="13" fontId="18" numFmtId="166" xfId="0" applyAlignment="1" applyBorder="1" applyFont="1" applyNumberFormat="1">
      <alignment vertical="bottom"/>
    </xf>
    <xf borderId="28" fillId="20" fontId="19" numFmtId="0" xfId="0" applyAlignment="1" applyBorder="1" applyFont="1">
      <alignment vertical="bottom"/>
    </xf>
    <xf borderId="29" fillId="0" fontId="18" numFmtId="0" xfId="0" applyAlignment="1" applyBorder="1" applyFont="1">
      <alignment vertical="bottom"/>
    </xf>
    <xf borderId="7" fillId="14" fontId="19" numFmtId="0" xfId="0" applyAlignment="1" applyBorder="1" applyFont="1">
      <alignment vertical="bottom"/>
    </xf>
    <xf borderId="30" fillId="0" fontId="18" numFmtId="0" xfId="0" applyAlignment="1" applyBorder="1" applyFont="1">
      <alignment vertical="bottom"/>
    </xf>
    <xf borderId="0" fillId="0" fontId="18" numFmtId="3" xfId="0" applyAlignment="1" applyFont="1" applyNumberFormat="1">
      <alignment vertical="bottom"/>
    </xf>
    <xf borderId="0" fillId="0" fontId="18" numFmtId="166" xfId="0" applyAlignment="1" applyFont="1" applyNumberFormat="1">
      <alignment vertical="bottom"/>
    </xf>
    <xf borderId="31" fillId="0" fontId="18" numFmtId="0" xfId="0" applyAlignment="1" applyBorder="1" applyFont="1">
      <alignment vertical="bottom"/>
    </xf>
    <xf borderId="7" fillId="21" fontId="19" numFmtId="0" xfId="0" applyAlignment="1" applyBorder="1" applyFill="1" applyFont="1">
      <alignment readingOrder="0" vertical="bottom"/>
    </xf>
    <xf borderId="0" fillId="0" fontId="11" numFmtId="0" xfId="0" applyAlignment="1" applyFont="1">
      <alignment vertical="bottom"/>
    </xf>
    <xf borderId="30" fillId="22" fontId="19" numFmtId="0" xfId="0" applyAlignment="1" applyBorder="1" applyFill="1" applyFont="1">
      <alignment vertical="bottom"/>
    </xf>
    <xf borderId="0" fillId="22" fontId="11" numFmtId="0" xfId="0" applyAlignment="1" applyFont="1">
      <alignment horizontal="right" vertical="bottom"/>
    </xf>
    <xf borderId="0" fillId="22" fontId="11" numFmtId="3" xfId="0" applyAlignment="1" applyFont="1" applyNumberFormat="1">
      <alignment horizontal="right" vertical="bottom"/>
    </xf>
    <xf borderId="0" fillId="22" fontId="18" numFmtId="166" xfId="0" applyAlignment="1" applyFont="1" applyNumberFormat="1">
      <alignment vertical="bottom"/>
    </xf>
    <xf borderId="31" fillId="22" fontId="11" numFmtId="0" xfId="0" applyAlignment="1" applyBorder="1" applyFont="1">
      <alignment readingOrder="0" vertical="bottom"/>
    </xf>
    <xf borderId="31" fillId="22" fontId="11" numFmtId="0" xfId="0" applyAlignment="1" applyBorder="1" applyFont="1">
      <alignment vertical="bottom"/>
    </xf>
    <xf borderId="30" fillId="22" fontId="20" numFmtId="0" xfId="0" applyAlignment="1" applyBorder="1" applyFont="1">
      <alignment vertical="bottom"/>
    </xf>
    <xf borderId="0" fillId="22" fontId="18" numFmtId="0" xfId="0" applyAlignment="1" applyFont="1">
      <alignment vertical="bottom"/>
    </xf>
    <xf borderId="0" fillId="22" fontId="19" numFmtId="3" xfId="0" applyAlignment="1" applyFont="1" applyNumberFormat="1">
      <alignment horizontal="right" vertical="bottom"/>
    </xf>
    <xf borderId="0" fillId="0" fontId="21" numFmtId="0" xfId="0" applyAlignment="1" applyFont="1">
      <alignment vertical="bottom"/>
    </xf>
    <xf borderId="30" fillId="0" fontId="11" numFmtId="0" xfId="0" applyAlignment="1" applyBorder="1" applyFont="1">
      <alignment vertical="bottom"/>
    </xf>
    <xf borderId="31" fillId="0" fontId="11" numFmtId="0" xfId="0" applyAlignment="1" applyBorder="1" applyFont="1">
      <alignment vertical="bottom"/>
    </xf>
    <xf borderId="0" fillId="6" fontId="21" numFmtId="0" xfId="0" applyAlignment="1" applyFont="1">
      <alignment vertical="bottom"/>
    </xf>
    <xf borderId="0" fillId="22" fontId="11" numFmtId="0" xfId="0" applyAlignment="1" applyFont="1">
      <alignment horizontal="right" readingOrder="0" vertical="bottom"/>
    </xf>
    <xf borderId="30" fillId="22" fontId="11" numFmtId="0" xfId="0" applyAlignment="1" applyBorder="1" applyFont="1">
      <alignment vertical="bottom"/>
    </xf>
    <xf borderId="31" fillId="22" fontId="18" numFmtId="0" xfId="0" applyAlignment="1" applyBorder="1" applyFont="1">
      <alignment vertical="bottom"/>
    </xf>
    <xf borderId="30" fillId="0" fontId="20" numFmtId="0" xfId="0" applyAlignment="1" applyBorder="1" applyFont="1">
      <alignment vertical="bottom"/>
    </xf>
    <xf borderId="30" fillId="22" fontId="19" numFmtId="0" xfId="0" applyAlignment="1" applyBorder="1" applyFont="1">
      <alignment readingOrder="0" vertical="bottom"/>
    </xf>
    <xf borderId="0" fillId="22" fontId="18" numFmtId="0" xfId="0" applyAlignment="1" applyFont="1">
      <alignment readingOrder="0" vertical="bottom"/>
    </xf>
    <xf borderId="30" fillId="22" fontId="11" numFmtId="0" xfId="0" applyAlignment="1" applyBorder="1" applyFont="1">
      <alignment readingOrder="0" vertical="bottom"/>
    </xf>
    <xf borderId="30" fillId="0" fontId="19" numFmtId="0" xfId="0" applyAlignment="1" applyBorder="1" applyFont="1">
      <alignment readingOrder="0" vertical="bottom"/>
    </xf>
    <xf borderId="0" fillId="0" fontId="18" numFmtId="0" xfId="0" applyAlignment="1" applyFont="1">
      <alignment readingOrder="0" vertical="bottom"/>
    </xf>
    <xf borderId="0" fillId="0" fontId="11" numFmtId="3" xfId="0" applyAlignment="1" applyFont="1" applyNumberFormat="1">
      <alignment horizontal="right" vertical="bottom"/>
    </xf>
    <xf borderId="31" fillId="0" fontId="11" numFmtId="0" xfId="0" applyAlignment="1" applyBorder="1" applyFont="1">
      <alignment readingOrder="0" vertical="bottom"/>
    </xf>
    <xf borderId="0" fillId="22" fontId="20" numFmtId="0" xfId="0" applyAlignment="1" applyFont="1">
      <alignment readingOrder="0" vertical="bottom"/>
    </xf>
    <xf borderId="30" fillId="15" fontId="19" numFmtId="0" xfId="0" applyAlignment="1" applyBorder="1" applyFont="1">
      <alignment vertical="bottom"/>
    </xf>
    <xf borderId="0" fillId="15" fontId="11" numFmtId="0" xfId="0" applyAlignment="1" applyFont="1">
      <alignment horizontal="right" readingOrder="0" vertical="bottom"/>
    </xf>
    <xf borderId="0" fillId="15" fontId="11" numFmtId="3" xfId="0" applyAlignment="1" applyFont="1" applyNumberFormat="1">
      <alignment horizontal="right" vertical="bottom"/>
    </xf>
    <xf borderId="0" fillId="15" fontId="18" numFmtId="166" xfId="0" applyAlignment="1" applyFont="1" applyNumberFormat="1">
      <alignment vertical="bottom"/>
    </xf>
    <xf borderId="31" fillId="15" fontId="11" numFmtId="0" xfId="0" applyAlignment="1" applyBorder="1" applyFont="1">
      <alignment vertical="bottom"/>
    </xf>
    <xf borderId="30" fillId="15" fontId="11" numFmtId="0" xfId="0" applyAlignment="1" applyBorder="1" applyFont="1">
      <alignment vertical="bottom"/>
    </xf>
    <xf borderId="0" fillId="15" fontId="18" numFmtId="0" xfId="0" applyAlignment="1" applyFont="1">
      <alignment vertical="bottom"/>
    </xf>
    <xf borderId="0" fillId="15" fontId="19" numFmtId="3" xfId="0" applyAlignment="1" applyFont="1" applyNumberFormat="1">
      <alignment horizontal="right" vertical="bottom"/>
    </xf>
    <xf borderId="30" fillId="0" fontId="19" numFmtId="0" xfId="0" applyAlignment="1" applyBorder="1" applyFont="1">
      <alignment vertical="bottom"/>
    </xf>
    <xf borderId="0" fillId="0" fontId="11" numFmtId="0" xfId="0" applyAlignment="1" applyFont="1">
      <alignment horizontal="right" vertical="bottom"/>
    </xf>
    <xf borderId="0" fillId="0" fontId="19" numFmtId="3" xfId="0" applyAlignment="1" applyFont="1" applyNumberFormat="1">
      <alignment horizontal="right" vertical="bottom"/>
    </xf>
    <xf borderId="0" fillId="0" fontId="22" numFmtId="0" xfId="0" applyAlignment="1" applyFont="1">
      <alignment vertical="bottom"/>
    </xf>
    <xf borderId="30" fillId="0" fontId="22" numFmtId="0" xfId="0" applyAlignment="1" applyBorder="1" applyFont="1">
      <alignment vertical="bottom"/>
    </xf>
    <xf borderId="0" fillId="0" fontId="22" numFmtId="3" xfId="0" applyAlignment="1" applyFont="1" applyNumberFormat="1">
      <alignment horizontal="right" vertical="bottom"/>
    </xf>
    <xf borderId="30" fillId="0" fontId="7" numFmtId="0" xfId="0" applyAlignment="1" applyBorder="1" applyFont="1">
      <alignment readingOrder="0" vertical="bottom"/>
    </xf>
    <xf borderId="0" fillId="0" fontId="1" numFmtId="0" xfId="0" applyAlignment="1" applyFont="1">
      <alignment readingOrder="0" vertical="bottom"/>
    </xf>
    <xf borderId="31" fillId="0" fontId="1" numFmtId="0" xfId="0" applyAlignment="1" applyBorder="1" applyFont="1">
      <alignment readingOrder="0" vertical="bottom"/>
    </xf>
    <xf borderId="32" fillId="0" fontId="22" numFmtId="0" xfId="0" applyAlignment="1" applyBorder="1" applyFont="1">
      <alignment vertical="bottom"/>
    </xf>
    <xf borderId="33" fillId="0" fontId="18" numFmtId="0" xfId="0" applyAlignment="1" applyBorder="1" applyFont="1">
      <alignment vertical="bottom"/>
    </xf>
    <xf borderId="33" fillId="0" fontId="22" numFmtId="3" xfId="0" applyAlignment="1" applyBorder="1" applyFont="1" applyNumberFormat="1">
      <alignment horizontal="right" vertical="bottom"/>
    </xf>
    <xf borderId="33" fillId="0" fontId="18" numFmtId="166" xfId="0" applyAlignment="1" applyBorder="1" applyFont="1" applyNumberFormat="1">
      <alignment vertical="bottom"/>
    </xf>
    <xf borderId="34" fillId="0" fontId="18" numFmtId="0" xfId="0" applyAlignment="1" applyBorder="1" applyFont="1">
      <alignment vertical="bottom"/>
    </xf>
    <xf borderId="0" fillId="2" fontId="23" numFmtId="49" xfId="0" applyAlignment="1" applyFont="1" applyNumberFormat="1">
      <alignment horizontal="center" shrinkToFit="0" vertical="center" wrapText="1"/>
    </xf>
    <xf borderId="0" fillId="2" fontId="24" numFmtId="3" xfId="0" applyAlignment="1" applyFont="1" applyNumberFormat="1">
      <alignment horizontal="center" shrinkToFit="0" vertical="center" wrapText="1"/>
    </xf>
    <xf borderId="0" fillId="2" fontId="24" numFmtId="4" xfId="0" applyAlignment="1" applyFont="1" applyNumberFormat="1">
      <alignment horizontal="center" shrinkToFit="0" vertical="center" wrapText="1"/>
    </xf>
    <xf borderId="0" fillId="2" fontId="24" numFmtId="164" xfId="0" applyAlignment="1" applyFont="1" applyNumberFormat="1">
      <alignment horizontal="center" shrinkToFit="0" vertical="center" wrapText="1"/>
    </xf>
    <xf borderId="0" fillId="2" fontId="24" numFmtId="3" xfId="0" applyAlignment="1" applyFont="1" applyNumberFormat="1">
      <alignment horizontal="center" readingOrder="0" shrinkToFit="0" vertical="center" wrapText="1"/>
    </xf>
    <xf borderId="0" fillId="2" fontId="24" numFmtId="0" xfId="0" applyAlignment="1" applyFont="1">
      <alignment horizontal="center" shrinkToFit="0" vertical="center" wrapText="1"/>
    </xf>
    <xf borderId="0" fillId="0" fontId="20" numFmtId="0" xfId="0" applyAlignment="1" applyFont="1">
      <alignment horizontal="left" shrinkToFit="0" vertical="center" wrapText="1"/>
    </xf>
    <xf borderId="0" fillId="2" fontId="24" numFmtId="49" xfId="0" applyAlignment="1" applyFont="1" applyNumberFormat="1">
      <alignment horizontal="left" shrinkToFit="0" vertical="bottom" wrapText="1"/>
    </xf>
    <xf borderId="0" fillId="2" fontId="24" numFmtId="3" xfId="0" applyAlignment="1" applyFont="1" applyNumberFormat="1">
      <alignment horizontal="center" vertical="bottom"/>
    </xf>
    <xf borderId="0" fillId="2" fontId="24" numFmtId="4" xfId="0" applyAlignment="1" applyFont="1" applyNumberFormat="1">
      <alignment horizontal="center" vertical="bottom"/>
    </xf>
    <xf borderId="0" fillId="2" fontId="24" numFmtId="164" xfId="0" applyAlignment="1" applyFont="1" applyNumberFormat="1">
      <alignment horizontal="center" vertical="bottom"/>
    </xf>
    <xf borderId="0" fillId="2" fontId="24" numFmtId="167" xfId="0" applyAlignment="1" applyFont="1" applyNumberFormat="1">
      <alignment horizontal="center" vertical="bottom"/>
    </xf>
    <xf borderId="0" fillId="0" fontId="20" numFmtId="0" xfId="0" applyAlignment="1" applyFont="1">
      <alignment horizontal="left"/>
    </xf>
    <xf borderId="0" fillId="0" fontId="20" numFmtId="0" xfId="0" applyAlignment="1" applyFont="1">
      <alignment horizontal="left" vertical="bottom"/>
    </xf>
    <xf borderId="0" fillId="0" fontId="25" numFmtId="49" xfId="0" applyAlignment="1" applyFont="1" applyNumberFormat="1">
      <alignment horizontal="left" readingOrder="0" shrinkToFit="0" vertical="bottom" wrapText="0"/>
    </xf>
    <xf borderId="0" fillId="0" fontId="25" numFmtId="0" xfId="0" applyAlignment="1" applyFont="1">
      <alignment horizontal="left" shrinkToFit="0" vertical="bottom" wrapText="0"/>
    </xf>
    <xf borderId="0" fillId="0" fontId="26" numFmtId="3" xfId="0" applyAlignment="1" applyFont="1" applyNumberFormat="1">
      <alignment horizontal="center"/>
    </xf>
    <xf borderId="0" fillId="0" fontId="26" numFmtId="0" xfId="0" applyAlignment="1" applyFont="1">
      <alignment horizontal="center"/>
    </xf>
    <xf borderId="0" fillId="0" fontId="26" numFmtId="164" xfId="0" applyAlignment="1" applyFont="1" applyNumberFormat="1">
      <alignment horizontal="center" vertical="bottom"/>
    </xf>
    <xf borderId="0" fillId="0" fontId="26" numFmtId="3" xfId="0" applyAlignment="1" applyFont="1" applyNumberFormat="1">
      <alignment horizontal="center" vertical="bottom"/>
    </xf>
    <xf borderId="0" fillId="0" fontId="26" numFmtId="167" xfId="0" applyAlignment="1" applyFont="1" applyNumberFormat="1">
      <alignment horizontal="center"/>
    </xf>
    <xf borderId="0" fillId="0" fontId="26" numFmtId="0" xfId="0" applyAlignment="1" applyFont="1">
      <alignment horizontal="left" vertical="bottom"/>
    </xf>
    <xf borderId="0" fillId="23" fontId="27" numFmtId="49" xfId="0" applyAlignment="1" applyFill="1" applyFont="1" applyNumberFormat="1">
      <alignment horizontal="left" shrinkToFit="0" vertical="bottom" wrapText="0"/>
    </xf>
    <xf borderId="0" fillId="23" fontId="27" numFmtId="0" xfId="0" applyAlignment="1" applyFont="1">
      <alignment horizontal="left" shrinkToFit="0" vertical="bottom" wrapText="0"/>
    </xf>
    <xf borderId="0" fillId="23" fontId="27" numFmtId="3" xfId="0" applyAlignment="1" applyFont="1" applyNumberFormat="1">
      <alignment horizontal="center" shrinkToFit="0" vertical="bottom" wrapText="0"/>
    </xf>
    <xf borderId="0" fillId="23" fontId="20" numFmtId="3" xfId="0" applyAlignment="1" applyFont="1" applyNumberFormat="1">
      <alignment horizontal="center" vertical="bottom"/>
    </xf>
    <xf borderId="0" fillId="23" fontId="20" numFmtId="164" xfId="0" applyAlignment="1" applyFont="1" applyNumberFormat="1">
      <alignment horizontal="center" readingOrder="0" vertical="bottom"/>
    </xf>
    <xf borderId="0" fillId="23" fontId="20" numFmtId="3" xfId="0" applyAlignment="1" applyFont="1" applyNumberFormat="1">
      <alignment horizontal="center" readingOrder="0" vertical="bottom"/>
    </xf>
    <xf borderId="0" fillId="23" fontId="20" numFmtId="167" xfId="0" applyAlignment="1" applyFont="1" applyNumberFormat="1">
      <alignment horizontal="center" vertical="bottom"/>
    </xf>
    <xf borderId="0" fillId="23" fontId="20" numFmtId="0" xfId="0" applyAlignment="1" applyFont="1">
      <alignment horizontal="left" vertical="bottom"/>
    </xf>
    <xf borderId="0" fillId="0" fontId="27" numFmtId="49" xfId="0" applyAlignment="1" applyFont="1" applyNumberFormat="1">
      <alignment horizontal="left" shrinkToFit="0" vertical="bottom" wrapText="0"/>
    </xf>
    <xf borderId="0" fillId="0" fontId="27" numFmtId="0" xfId="0" applyAlignment="1" applyFont="1">
      <alignment horizontal="left" shrinkToFit="0" vertical="bottom" wrapText="0"/>
    </xf>
    <xf borderId="0" fillId="0" fontId="27" numFmtId="3" xfId="0" applyAlignment="1" applyFont="1" applyNumberFormat="1">
      <alignment horizontal="center" shrinkToFit="0" vertical="bottom" wrapText="0"/>
    </xf>
    <xf borderId="0" fillId="0" fontId="20" numFmtId="3" xfId="0" applyAlignment="1" applyFont="1" applyNumberFormat="1">
      <alignment horizontal="center" vertical="bottom"/>
    </xf>
    <xf borderId="0" fillId="0" fontId="20" numFmtId="164" xfId="0" applyAlignment="1" applyFont="1" applyNumberFormat="1">
      <alignment horizontal="center" readingOrder="0" vertical="bottom"/>
    </xf>
    <xf borderId="0" fillId="0" fontId="20" numFmtId="167" xfId="0" applyAlignment="1" applyFont="1" applyNumberFormat="1">
      <alignment horizontal="center" vertical="bottom"/>
    </xf>
    <xf borderId="0" fillId="0" fontId="27" numFmtId="49" xfId="0" applyAlignment="1" applyFont="1" applyNumberFormat="1">
      <alignment horizontal="left" readingOrder="0" shrinkToFit="0" vertical="bottom" wrapText="0"/>
    </xf>
    <xf borderId="0" fillId="0" fontId="27" numFmtId="0" xfId="0" applyAlignment="1" applyFont="1">
      <alignment horizontal="left" readingOrder="0" shrinkToFit="0" vertical="bottom" wrapText="0"/>
    </xf>
    <xf borderId="0" fillId="0" fontId="27" numFmtId="3" xfId="0" applyAlignment="1" applyFont="1" applyNumberFormat="1">
      <alignment horizontal="center" readingOrder="0" shrinkToFit="0" vertical="bottom" wrapText="0"/>
    </xf>
    <xf borderId="0" fillId="0" fontId="20" numFmtId="3" xfId="0" applyAlignment="1" applyFont="1" applyNumberFormat="1">
      <alignment horizontal="center" readingOrder="0" vertical="bottom"/>
    </xf>
    <xf borderId="0" fillId="0" fontId="20" numFmtId="167" xfId="0" applyAlignment="1" applyFont="1" applyNumberFormat="1">
      <alignment horizontal="center" readingOrder="0" vertical="bottom"/>
    </xf>
    <xf borderId="0" fillId="0" fontId="20" numFmtId="49" xfId="0" applyAlignment="1" applyFont="1" applyNumberFormat="1">
      <alignment horizontal="left" readingOrder="0" vertical="bottom"/>
    </xf>
    <xf borderId="0" fillId="0" fontId="20" numFmtId="0" xfId="0" applyAlignment="1" applyFont="1">
      <alignment readingOrder="0" vertical="bottom"/>
    </xf>
    <xf borderId="0" fillId="0" fontId="20" numFmtId="49" xfId="0" applyAlignment="1" applyFont="1" applyNumberFormat="1">
      <alignment horizontal="center" vertical="bottom"/>
    </xf>
    <xf borderId="0" fillId="0" fontId="25" numFmtId="49" xfId="0" applyAlignment="1" applyFont="1" applyNumberFormat="1">
      <alignment horizontal="left" shrinkToFit="0" vertical="bottom" wrapText="0"/>
    </xf>
    <xf borderId="0" fillId="0" fontId="25" numFmtId="3" xfId="0" applyAlignment="1" applyFont="1" applyNumberFormat="1">
      <alignment horizontal="center" shrinkToFit="0" vertical="bottom" wrapText="0"/>
    </xf>
    <xf borderId="0" fillId="0" fontId="26" numFmtId="49" xfId="0" applyAlignment="1" applyFont="1" applyNumberFormat="1">
      <alignment horizontal="center" vertical="bottom"/>
    </xf>
    <xf borderId="0" fillId="0" fontId="26" numFmtId="167" xfId="0" applyAlignment="1" applyFont="1" applyNumberFormat="1">
      <alignment horizontal="center" vertical="bottom"/>
    </xf>
    <xf borderId="0" fillId="2" fontId="24" numFmtId="49" xfId="0" applyAlignment="1" applyFont="1" applyNumberFormat="1">
      <alignment horizontal="left" readingOrder="0" shrinkToFit="0" vertical="bottom" wrapText="1"/>
    </xf>
    <xf borderId="0" fillId="2" fontId="24" numFmtId="3" xfId="0" applyAlignment="1" applyFont="1" applyNumberFormat="1">
      <alignment horizontal="center" shrinkToFit="0" vertical="bottom" wrapText="1"/>
    </xf>
    <xf borderId="0" fillId="2" fontId="24" numFmtId="49" xfId="0" applyAlignment="1" applyFont="1" applyNumberFormat="1">
      <alignment horizontal="center" shrinkToFit="0" vertical="bottom" wrapText="1"/>
    </xf>
    <xf borderId="0" fillId="23" fontId="20" numFmtId="49" xfId="0" applyAlignment="1" applyFont="1" applyNumberFormat="1">
      <alignment horizontal="left" readingOrder="0" vertical="bottom"/>
    </xf>
    <xf borderId="0" fillId="23" fontId="20" numFmtId="0" xfId="0" applyAlignment="1" applyFont="1">
      <alignment horizontal="left" readingOrder="0" vertical="bottom"/>
    </xf>
    <xf borderId="0" fillId="23" fontId="20" numFmtId="0" xfId="0" applyAlignment="1" applyFont="1">
      <alignment horizontal="center" readingOrder="0" vertical="bottom"/>
    </xf>
    <xf borderId="0" fillId="23" fontId="20" numFmtId="49" xfId="0" applyAlignment="1" applyFont="1" applyNumberFormat="1">
      <alignment horizontal="center" vertical="bottom"/>
    </xf>
    <xf borderId="0" fillId="23" fontId="20" numFmtId="0" xfId="0" applyAlignment="1" applyFont="1">
      <alignment horizontal="center" vertical="bottom"/>
    </xf>
    <xf borderId="0" fillId="23" fontId="20" numFmtId="49" xfId="0" applyAlignment="1" applyFont="1" applyNumberFormat="1">
      <alignment horizontal="center" readingOrder="0" vertical="bottom"/>
    </xf>
    <xf borderId="0" fillId="23" fontId="20" numFmtId="49" xfId="0" applyAlignment="1" applyFont="1" applyNumberFormat="1">
      <alignment horizontal="left" vertical="bottom"/>
    </xf>
    <xf borderId="0" fillId="0" fontId="28" numFmtId="3" xfId="0" applyAlignment="1" applyFont="1" applyNumberFormat="1">
      <alignment horizontal="center" vertical="bottom"/>
    </xf>
    <xf borderId="0" fillId="0" fontId="20" numFmtId="49" xfId="0" applyAlignment="1" applyFont="1" applyNumberFormat="1">
      <alignment horizontal="left" vertical="bottom"/>
    </xf>
    <xf borderId="0" fillId="0" fontId="20" numFmtId="0" xfId="0" applyAlignment="1" applyFont="1">
      <alignment horizontal="center" vertical="bottom"/>
    </xf>
    <xf borderId="0" fillId="0" fontId="20" numFmtId="164" xfId="0" applyAlignment="1" applyFont="1" applyNumberFormat="1">
      <alignment horizontal="center" vertical="bottom"/>
    </xf>
    <xf borderId="0" fillId="0" fontId="27" numFmtId="0" xfId="0" applyAlignment="1" applyFont="1">
      <alignment horizontal="center" readingOrder="0" shrinkToFit="0" vertical="bottom" wrapText="0"/>
    </xf>
    <xf borderId="0" fillId="0" fontId="27" numFmtId="164" xfId="0" applyAlignment="1" applyFont="1" applyNumberFormat="1">
      <alignment horizontal="center" readingOrder="0" shrinkToFit="0" vertical="bottom" wrapText="0"/>
    </xf>
    <xf borderId="0" fillId="0" fontId="27" numFmtId="0" xfId="0" applyAlignment="1" applyFont="1">
      <alignment horizontal="center" shrinkToFit="0" vertical="bottom" wrapText="0"/>
    </xf>
    <xf borderId="0" fillId="0" fontId="27" numFmtId="167" xfId="0" applyAlignment="1" applyFont="1" applyNumberFormat="1">
      <alignment horizontal="center" readingOrder="0" shrinkToFit="0" vertical="bottom" wrapText="0"/>
    </xf>
    <xf borderId="0" fillId="0" fontId="20" numFmtId="168" xfId="0" applyAlignment="1" applyFont="1" applyNumberFormat="1">
      <alignment horizontal="center" readingOrder="0" vertical="bottom"/>
    </xf>
    <xf borderId="0" fillId="0" fontId="20" numFmtId="49" xfId="0" applyAlignment="1" applyFont="1" applyNumberFormat="1">
      <alignment horizontal="left"/>
    </xf>
    <xf borderId="0" fillId="0" fontId="20" numFmtId="3" xfId="0" applyAlignment="1" applyFont="1" applyNumberFormat="1">
      <alignment horizontal="center"/>
    </xf>
    <xf borderId="0" fillId="0" fontId="20" numFmtId="49" xfId="0" applyAlignment="1" applyFont="1" applyNumberFormat="1">
      <alignment horizontal="center"/>
    </xf>
    <xf borderId="0" fillId="0" fontId="27" numFmtId="164" xfId="0" applyAlignment="1" applyFont="1" applyNumberFormat="1">
      <alignment horizontal="center" shrinkToFit="0" vertical="bottom" wrapText="0"/>
    </xf>
    <xf borderId="0" fillId="0" fontId="20" numFmtId="167" xfId="0" applyAlignment="1" applyFont="1" applyNumberFormat="1">
      <alignment horizontal="center"/>
    </xf>
    <xf borderId="0" fillId="23" fontId="27" numFmtId="0" xfId="0" applyAlignment="1" applyFont="1">
      <alignment horizontal="center" shrinkToFit="0" vertical="bottom" wrapText="0"/>
    </xf>
    <xf borderId="0" fillId="23" fontId="27" numFmtId="49" xfId="0" applyAlignment="1" applyFont="1" applyNumberFormat="1">
      <alignment horizontal="center" shrinkToFit="0" vertical="bottom" wrapText="0"/>
    </xf>
    <xf borderId="0" fillId="23" fontId="27" numFmtId="164" xfId="0" applyAlignment="1" applyFont="1" applyNumberFormat="1">
      <alignment horizontal="center" readingOrder="0" shrinkToFit="0" vertical="bottom" wrapText="0"/>
    </xf>
    <xf borderId="0" fillId="23" fontId="27" numFmtId="3" xfId="0" applyAlignment="1" applyFont="1" applyNumberFormat="1">
      <alignment horizontal="center" readingOrder="0" shrinkToFit="0" vertical="bottom" wrapText="0"/>
    </xf>
    <xf borderId="0" fillId="23" fontId="27" numFmtId="167" xfId="0" applyAlignment="1" applyFont="1" applyNumberFormat="1">
      <alignment horizontal="center" shrinkToFit="0" vertical="bottom" wrapText="0"/>
    </xf>
    <xf borderId="0" fillId="2" fontId="24" numFmtId="49" xfId="0" applyAlignment="1" applyFont="1" applyNumberFormat="1">
      <alignment shrinkToFit="0" vertical="bottom" wrapText="1"/>
    </xf>
    <xf borderId="0" fillId="2" fontId="11" numFmtId="3" xfId="0" applyAlignment="1" applyFont="1" applyNumberFormat="1">
      <alignment vertical="bottom"/>
    </xf>
    <xf borderId="0" fillId="2" fontId="20" numFmtId="49" xfId="0" applyAlignment="1" applyFont="1" applyNumberFormat="1">
      <alignment horizontal="center"/>
    </xf>
    <xf borderId="0" fillId="2" fontId="11" numFmtId="49" xfId="0" applyAlignment="1" applyFont="1" applyNumberFormat="1">
      <alignment vertical="bottom"/>
    </xf>
    <xf borderId="0" fillId="2" fontId="20" numFmtId="167" xfId="0" applyAlignment="1" applyFont="1" applyNumberFormat="1">
      <alignment horizontal="center"/>
    </xf>
    <xf borderId="0" fillId="2" fontId="20" numFmtId="49" xfId="0" applyAlignment="1" applyFont="1" applyNumberFormat="1">
      <alignment horizontal="left"/>
    </xf>
    <xf borderId="0" fillId="0" fontId="20" numFmtId="49" xfId="0" applyAlignment="1" applyFont="1" applyNumberFormat="1">
      <alignment vertical="bottom"/>
    </xf>
    <xf borderId="0" fillId="0" fontId="20" numFmtId="0" xfId="0" applyAlignment="1" applyFont="1">
      <alignment vertical="bottom"/>
    </xf>
    <xf borderId="0" fillId="0" fontId="11" numFmtId="3" xfId="0" applyAlignment="1" applyFont="1" applyNumberFormat="1">
      <alignment vertical="bottom"/>
    </xf>
    <xf borderId="0" fillId="0" fontId="11" numFmtId="49" xfId="0" applyAlignment="1" applyFont="1" applyNumberFormat="1">
      <alignment vertical="bottom"/>
    </xf>
    <xf borderId="0" fillId="23" fontId="20" numFmtId="49" xfId="0" applyAlignment="1" applyFont="1" applyNumberFormat="1">
      <alignment vertical="bottom"/>
    </xf>
    <xf borderId="0" fillId="23" fontId="20" numFmtId="0" xfId="0" applyAlignment="1" applyFont="1">
      <alignment vertical="bottom"/>
    </xf>
    <xf borderId="0" fillId="23" fontId="11" numFmtId="0" xfId="0" applyAlignment="1" applyFont="1">
      <alignment vertical="bottom"/>
    </xf>
    <xf borderId="0" fillId="23" fontId="11" numFmtId="49" xfId="0" applyAlignment="1" applyFont="1" applyNumberFormat="1">
      <alignment vertical="bottom"/>
    </xf>
    <xf borderId="0" fillId="0" fontId="20" numFmtId="49" xfId="0" applyAlignment="1" applyFont="1" applyNumberFormat="1">
      <alignment readingOrder="0" vertical="bottom"/>
    </xf>
    <xf borderId="0" fillId="0" fontId="26" numFmtId="0" xfId="0" applyAlignment="1" applyFont="1">
      <alignment horizontal="center" vertical="bottom"/>
    </xf>
    <xf borderId="0" fillId="0" fontId="26" numFmtId="3" xfId="0" applyAlignment="1" applyFont="1" applyNumberFormat="1">
      <alignment horizontal="center" readingOrder="0" vertical="bottom"/>
    </xf>
    <xf borderId="0" fillId="0" fontId="29" numFmtId="49" xfId="0" applyAlignment="1" applyFont="1" applyNumberFormat="1">
      <alignment horizontal="center" vertical="bottom"/>
    </xf>
    <xf borderId="0" fillId="0" fontId="22" numFmtId="49" xfId="0" applyAlignment="1" applyFont="1" applyNumberFormat="1">
      <alignment horizontal="center" vertical="bottom"/>
    </xf>
    <xf borderId="0" fillId="0" fontId="22" numFmtId="0" xfId="0" applyAlignment="1" applyFont="1">
      <alignment horizontal="center" vertical="bottom"/>
    </xf>
    <xf borderId="0" fillId="0" fontId="22" numFmtId="3" xfId="0" applyAlignment="1" applyFont="1" applyNumberFormat="1">
      <alignment horizontal="center" vertical="bottom"/>
    </xf>
    <xf borderId="0" fillId="0" fontId="22" numFmtId="164" xfId="0" applyAlignment="1" applyFont="1" applyNumberFormat="1">
      <alignment horizontal="center" vertical="bottom"/>
    </xf>
    <xf borderId="0" fillId="0" fontId="22" numFmtId="167" xfId="0" applyAlignment="1" applyFont="1" applyNumberFormat="1">
      <alignment horizontal="center" vertical="bottom"/>
    </xf>
    <xf borderId="0" fillId="0" fontId="22" numFmtId="0" xfId="0" applyAlignment="1" applyFont="1">
      <alignment horizontal="left" vertical="bottom"/>
    </xf>
    <xf borderId="0" fillId="0" fontId="26" numFmtId="49" xfId="0" applyAlignment="1" applyFont="1" applyNumberFormat="1">
      <alignment horizontal="center" readingOrder="0" vertical="bottom"/>
    </xf>
    <xf borderId="0" fillId="0" fontId="11" numFmtId="3" xfId="0" applyAlignment="1" applyFont="1" applyNumberFormat="1">
      <alignment horizontal="center"/>
    </xf>
    <xf borderId="35" fillId="0" fontId="30" numFmtId="49" xfId="0" applyAlignment="1" applyBorder="1" applyFont="1" applyNumberFormat="1">
      <alignment horizontal="center" readingOrder="0" shrinkToFit="0" vertical="center" wrapText="1"/>
    </xf>
    <xf borderId="36" fillId="0" fontId="30" numFmtId="3" xfId="0" applyAlignment="1" applyBorder="1" applyFont="1" applyNumberFormat="1">
      <alignment horizontal="center" shrinkToFit="0" vertical="center" wrapText="1"/>
    </xf>
    <xf borderId="0" fillId="0" fontId="26" numFmtId="3" xfId="0" applyAlignment="1" applyFont="1" applyNumberFormat="1">
      <alignment horizontal="center" shrinkToFit="0" vertical="bottom" wrapText="1"/>
    </xf>
    <xf borderId="0" fillId="0" fontId="26" numFmtId="0" xfId="0" applyAlignment="1" applyFont="1">
      <alignment horizontal="center" shrinkToFit="0" vertical="bottom" wrapText="1"/>
    </xf>
    <xf borderId="0" fillId="0" fontId="26" numFmtId="164" xfId="0" applyAlignment="1" applyFont="1" applyNumberFormat="1">
      <alignment horizontal="center" shrinkToFit="0" vertical="bottom" wrapText="1"/>
    </xf>
    <xf borderId="0" fillId="0" fontId="26" numFmtId="167" xfId="0" applyAlignment="1" applyFont="1" applyNumberFormat="1">
      <alignment horizontal="center" shrinkToFit="0" vertical="bottom" wrapText="1"/>
    </xf>
    <xf borderId="0" fillId="0" fontId="26" numFmtId="0" xfId="0" applyAlignment="1" applyFont="1">
      <alignment horizontal="left" shrinkToFit="0" vertical="bottom" wrapText="1"/>
    </xf>
    <xf borderId="0" fillId="0" fontId="20" numFmtId="49" xfId="0" applyAlignment="1" applyFont="1" applyNumberFormat="1">
      <alignment horizontal="center" readingOrder="0" vertical="bottom"/>
    </xf>
    <xf borderId="0" fillId="0" fontId="20" numFmtId="0" xfId="0" applyAlignment="1" applyFont="1">
      <alignment horizontal="center" readingOrder="0" vertical="bottom"/>
    </xf>
    <xf borderId="0" fillId="0" fontId="20" numFmtId="164" xfId="0" applyAlignment="1" applyFont="1" applyNumberFormat="1">
      <alignment horizontal="center" readingOrder="0" vertical="bottom"/>
    </xf>
  </cellXfs>
  <cellStyles count="1">
    <cellStyle xfId="0" name="Normal" builtinId="0"/>
  </cellStyles>
  <dxfs count="1">
    <dxf>
      <font/>
      <fill>
        <patternFill patternType="solid">
          <fgColor rgb="FFE06666"/>
          <bgColor rgb="FFE06666"/>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topLeftCell="C1" activePane="topRight" state="frozen"/>
      <selection activeCell="D2" sqref="D2" pane="topRight"/>
    </sheetView>
  </sheetViews>
  <sheetFormatPr customHeight="1" defaultColWidth="12.63" defaultRowHeight="15.0"/>
  <cols>
    <col customWidth="1" min="1" max="1" width="7.38"/>
    <col customWidth="1" min="2" max="2" width="61.63"/>
    <col customWidth="1" min="3" max="4" width="16.38"/>
    <col customWidth="1" min="5" max="5" width="4.63"/>
  </cols>
  <sheetData>
    <row r="1" ht="15.75" customHeight="1">
      <c r="A1" s="1"/>
      <c r="B1" s="2"/>
      <c r="C1" s="3" t="s">
        <v>0</v>
      </c>
      <c r="D1" s="4"/>
      <c r="E1" s="5"/>
    </row>
    <row r="2" ht="26.25" customHeight="1">
      <c r="A2" s="6"/>
      <c r="B2" s="7"/>
      <c r="C2" s="8" t="s">
        <v>1</v>
      </c>
      <c r="D2" s="5"/>
      <c r="E2" s="9"/>
    </row>
    <row r="3" ht="15.75" customHeight="1">
      <c r="A3" s="10"/>
      <c r="B3" s="11"/>
      <c r="C3" s="12" t="s">
        <v>2</v>
      </c>
      <c r="D3" s="13" t="s">
        <v>3</v>
      </c>
      <c r="E3" s="14" t="s">
        <v>4</v>
      </c>
    </row>
    <row r="4" ht="15.75" customHeight="1">
      <c r="A4" s="6"/>
      <c r="B4" s="15" t="s">
        <v>5</v>
      </c>
      <c r="C4" s="16" t="s">
        <v>6</v>
      </c>
      <c r="D4" s="5"/>
      <c r="E4" s="9"/>
    </row>
    <row r="5" ht="15.75" customHeight="1">
      <c r="A5" s="17">
        <v>102300.0</v>
      </c>
      <c r="B5" s="18" t="s">
        <v>7</v>
      </c>
      <c r="C5" s="12" t="s">
        <v>2</v>
      </c>
      <c r="D5" s="13" t="s">
        <v>3</v>
      </c>
      <c r="E5" s="14" t="s">
        <v>4</v>
      </c>
    </row>
    <row r="6" ht="15.75" customHeight="1">
      <c r="A6" s="19">
        <v>3120.0</v>
      </c>
      <c r="B6" s="20" t="s">
        <v>8</v>
      </c>
      <c r="C6" s="21">
        <f>105000+85000+30000</f>
        <v>220000</v>
      </c>
      <c r="D6" s="22"/>
      <c r="E6" s="23">
        <v>1.0</v>
      </c>
    </row>
    <row r="7" ht="15.75" customHeight="1">
      <c r="A7" s="19">
        <v>3121.0</v>
      </c>
      <c r="B7" s="20" t="s">
        <v>9</v>
      </c>
      <c r="C7" s="21">
        <f t="shared" ref="C7:D7" si="1">85000</f>
        <v>85000</v>
      </c>
      <c r="D7" s="22">
        <f t="shared" si="1"/>
        <v>85000</v>
      </c>
      <c r="E7" s="24">
        <f>E6+1</f>
        <v>2</v>
      </c>
    </row>
    <row r="8" ht="15.75" customHeight="1">
      <c r="A8" s="19">
        <v>3901.0</v>
      </c>
      <c r="B8" s="20" t="s">
        <v>10</v>
      </c>
      <c r="C8" s="21">
        <f>1750*399</f>
        <v>698250</v>
      </c>
      <c r="D8" s="22"/>
      <c r="E8" s="25">
        <v>3.0</v>
      </c>
    </row>
    <row r="9" ht="15.75" customHeight="1">
      <c r="A9" s="19">
        <v>3902.0</v>
      </c>
      <c r="B9" s="20" t="s">
        <v>11</v>
      </c>
      <c r="C9" s="26">
        <f>399*100</f>
        <v>39900</v>
      </c>
      <c r="D9" s="22"/>
      <c r="E9" s="24">
        <v>4.0</v>
      </c>
    </row>
    <row r="10" ht="15.75" customHeight="1">
      <c r="A10" s="19">
        <v>3905.0</v>
      </c>
      <c r="B10" s="20" t="s">
        <v>12</v>
      </c>
      <c r="C10" s="26">
        <v>39900.0</v>
      </c>
      <c r="D10" s="22"/>
      <c r="E10" s="24">
        <f t="shared" ref="E10:E16" si="2">E9+1</f>
        <v>5</v>
      </c>
    </row>
    <row r="11" ht="15.75" customHeight="1">
      <c r="A11" s="19">
        <v>3906.0</v>
      </c>
      <c r="B11" s="20" t="s">
        <v>13</v>
      </c>
      <c r="C11" s="21">
        <f>2*120*399</f>
        <v>95760</v>
      </c>
      <c r="D11" s="22"/>
      <c r="E11" s="24">
        <f t="shared" si="2"/>
        <v>6</v>
      </c>
    </row>
    <row r="12" ht="15.75" customHeight="1">
      <c r="A12" s="27">
        <v>4047.0</v>
      </c>
      <c r="B12" s="28" t="s">
        <v>14</v>
      </c>
      <c r="C12" s="21"/>
      <c r="D12" s="29">
        <v>30000.0</v>
      </c>
      <c r="E12" s="24">
        <f t="shared" si="2"/>
        <v>7</v>
      </c>
    </row>
    <row r="13" ht="15.75" customHeight="1">
      <c r="A13" s="19">
        <v>4120.0</v>
      </c>
      <c r="B13" s="20" t="s">
        <v>15</v>
      </c>
      <c r="C13" s="21"/>
      <c r="D13" s="22">
        <v>0.0</v>
      </c>
      <c r="E13" s="24">
        <f t="shared" si="2"/>
        <v>8</v>
      </c>
    </row>
    <row r="14" ht="15.75" customHeight="1">
      <c r="A14" s="19">
        <v>4065.0</v>
      </c>
      <c r="B14" s="20" t="s">
        <v>16</v>
      </c>
      <c r="C14" s="21"/>
      <c r="D14" s="22">
        <v>0.0</v>
      </c>
      <c r="E14" s="24">
        <f t="shared" si="2"/>
        <v>9</v>
      </c>
    </row>
    <row r="15" ht="15.75" customHeight="1">
      <c r="A15" s="19">
        <v>6980.0</v>
      </c>
      <c r="B15" s="20" t="s">
        <v>17</v>
      </c>
      <c r="C15" s="21"/>
      <c r="D15" s="22">
        <f>1900*15</f>
        <v>28500</v>
      </c>
      <c r="E15" s="25">
        <f t="shared" si="2"/>
        <v>10</v>
      </c>
    </row>
    <row r="16" ht="15.75" customHeight="1">
      <c r="A16" s="19">
        <v>7210.0</v>
      </c>
      <c r="B16" s="20" t="s">
        <v>18</v>
      </c>
      <c r="C16" s="21"/>
      <c r="D16" s="22">
        <v>0.0</v>
      </c>
      <c r="E16" s="25">
        <f t="shared" si="2"/>
        <v>11</v>
      </c>
    </row>
    <row r="17" ht="15.75" customHeight="1">
      <c r="A17" s="19"/>
      <c r="B17" s="30" t="s">
        <v>19</v>
      </c>
      <c r="C17" s="31">
        <f t="shared" ref="C17:D17" si="3">SUM(C6:C16)</f>
        <v>1178810</v>
      </c>
      <c r="D17" s="32">
        <f t="shared" si="3"/>
        <v>143500</v>
      </c>
      <c r="E17" s="25"/>
    </row>
    <row r="18" ht="15.75" customHeight="1">
      <c r="A18" s="33"/>
      <c r="B18" s="30" t="s">
        <v>20</v>
      </c>
      <c r="C18" s="31"/>
      <c r="D18" s="32">
        <f>C17-D17</f>
        <v>1035310</v>
      </c>
      <c r="E18" s="25"/>
    </row>
    <row r="19" ht="15.75" customHeight="1">
      <c r="A19" s="34">
        <v>102301.0</v>
      </c>
      <c r="B19" s="18" t="s">
        <v>21</v>
      </c>
      <c r="C19" s="35"/>
      <c r="D19" s="36"/>
      <c r="E19" s="37"/>
    </row>
    <row r="20" ht="15.75" customHeight="1">
      <c r="A20" s="19">
        <v>3011.0</v>
      </c>
      <c r="B20" s="20" t="s">
        <v>22</v>
      </c>
      <c r="C20" s="21">
        <f>30*150</f>
        <v>4500</v>
      </c>
      <c r="D20" s="22"/>
      <c r="E20" s="38">
        <f>E16+1</f>
        <v>12</v>
      </c>
    </row>
    <row r="21" ht="15.75" customHeight="1">
      <c r="A21" s="19">
        <v>3012.0</v>
      </c>
      <c r="B21" s="20" t="s">
        <v>23</v>
      </c>
      <c r="C21" s="21">
        <v>5500.0</v>
      </c>
      <c r="D21" s="22"/>
      <c r="E21" s="38">
        <f t="shared" ref="E21:E41" si="4">E20+1</f>
        <v>13</v>
      </c>
    </row>
    <row r="22" ht="15.75" customHeight="1">
      <c r="A22" s="19">
        <v>4040.0</v>
      </c>
      <c r="B22" s="20" t="s">
        <v>24</v>
      </c>
      <c r="C22" s="21"/>
      <c r="D22" s="22">
        <f>8000+2*350</f>
        <v>8700</v>
      </c>
      <c r="E22" s="38">
        <f t="shared" si="4"/>
        <v>14</v>
      </c>
    </row>
    <row r="23" ht="15.75" customHeight="1">
      <c r="A23" s="19">
        <v>4046.0</v>
      </c>
      <c r="B23" s="20" t="s">
        <v>25</v>
      </c>
      <c r="C23" s="21"/>
      <c r="D23" s="22">
        <f>3000+2000</f>
        <v>5000</v>
      </c>
      <c r="E23" s="38">
        <f t="shared" si="4"/>
        <v>15</v>
      </c>
    </row>
    <row r="24" ht="15.75" customHeight="1">
      <c r="A24" s="19">
        <v>4045.0</v>
      </c>
      <c r="B24" s="20" t="s">
        <v>26</v>
      </c>
      <c r="C24" s="21"/>
      <c r="D24" s="22">
        <f>20000+5000</f>
        <v>25000</v>
      </c>
      <c r="E24" s="38">
        <f t="shared" si="4"/>
        <v>16</v>
      </c>
    </row>
    <row r="25" ht="15.75" customHeight="1">
      <c r="A25" s="19">
        <v>4047.0</v>
      </c>
      <c r="B25" s="20" t="s">
        <v>14</v>
      </c>
      <c r="C25" s="21"/>
      <c r="D25" s="29">
        <v>20000.0</v>
      </c>
      <c r="E25" s="38">
        <f t="shared" si="4"/>
        <v>17</v>
      </c>
    </row>
    <row r="26" ht="15.75" customHeight="1">
      <c r="A26" s="19">
        <v>4060.0</v>
      </c>
      <c r="B26" s="20" t="s">
        <v>27</v>
      </c>
      <c r="C26" s="21"/>
      <c r="D26" s="22">
        <f>24000+13000+3500+1745</f>
        <v>42245</v>
      </c>
      <c r="E26" s="38">
        <f t="shared" si="4"/>
        <v>18</v>
      </c>
    </row>
    <row r="27" ht="15.75" customHeight="1">
      <c r="A27" s="19">
        <v>4061.0</v>
      </c>
      <c r="B27" s="20" t="s">
        <v>23</v>
      </c>
      <c r="C27" s="21"/>
      <c r="D27" s="22">
        <f>5500*11</f>
        <v>60500</v>
      </c>
      <c r="E27" s="38">
        <f t="shared" si="4"/>
        <v>19</v>
      </c>
    </row>
    <row r="28" ht="15.75" customHeight="1">
      <c r="A28" s="19">
        <v>4070.0</v>
      </c>
      <c r="B28" s="20" t="s">
        <v>28</v>
      </c>
      <c r="C28" s="21"/>
      <c r="D28" s="22">
        <v>0.0</v>
      </c>
      <c r="E28" s="38">
        <f t="shared" si="4"/>
        <v>20</v>
      </c>
    </row>
    <row r="29" ht="15.75" customHeight="1">
      <c r="A29" s="19">
        <v>4076.0</v>
      </c>
      <c r="B29" s="20" t="s">
        <v>29</v>
      </c>
      <c r="C29" s="21"/>
      <c r="D29" s="22">
        <v>6000.0</v>
      </c>
      <c r="E29" s="38">
        <f t="shared" si="4"/>
        <v>21</v>
      </c>
    </row>
    <row r="30" ht="15.75" customHeight="1">
      <c r="A30" s="19">
        <v>4078.0</v>
      </c>
      <c r="B30" s="20" t="s">
        <v>30</v>
      </c>
      <c r="C30" s="39"/>
      <c r="D30" s="22">
        <v>0.0</v>
      </c>
      <c r="E30" s="38">
        <f t="shared" si="4"/>
        <v>22</v>
      </c>
    </row>
    <row r="31" ht="15.75" customHeight="1">
      <c r="A31" s="19">
        <v>4065.0</v>
      </c>
      <c r="B31" s="20" t="s">
        <v>16</v>
      </c>
      <c r="C31" s="39"/>
      <c r="D31" s="22">
        <v>50000.0</v>
      </c>
      <c r="E31" s="38">
        <f t="shared" si="4"/>
        <v>23</v>
      </c>
    </row>
    <row r="32" ht="15.75" customHeight="1">
      <c r="A32" s="19">
        <v>4080.0</v>
      </c>
      <c r="B32" s="20" t="s">
        <v>31</v>
      </c>
      <c r="C32" s="39"/>
      <c r="D32" s="22">
        <v>0.0</v>
      </c>
      <c r="E32" s="38">
        <f t="shared" si="4"/>
        <v>24</v>
      </c>
    </row>
    <row r="33" ht="15.75" customHeight="1">
      <c r="A33" s="19">
        <v>4190.0</v>
      </c>
      <c r="B33" s="20" t="s">
        <v>32</v>
      </c>
      <c r="C33" s="39"/>
      <c r="D33" s="29">
        <v>52500.0</v>
      </c>
      <c r="E33" s="38">
        <f t="shared" si="4"/>
        <v>25</v>
      </c>
    </row>
    <row r="34" ht="15.75" customHeight="1">
      <c r="A34" s="19">
        <v>5050.0</v>
      </c>
      <c r="B34" s="20" t="s">
        <v>33</v>
      </c>
      <c r="C34" s="39"/>
      <c r="D34" s="22">
        <v>0.0</v>
      </c>
      <c r="E34" s="38">
        <f t="shared" si="4"/>
        <v>26</v>
      </c>
    </row>
    <row r="35" ht="15.75" customHeight="1">
      <c r="A35" s="19">
        <v>5810.0</v>
      </c>
      <c r="B35" s="20" t="s">
        <v>34</v>
      </c>
      <c r="C35" s="39"/>
      <c r="D35" s="22">
        <v>6000.0</v>
      </c>
      <c r="E35" s="38">
        <f t="shared" si="4"/>
        <v>27</v>
      </c>
    </row>
    <row r="36" ht="15.75" customHeight="1">
      <c r="A36" s="19">
        <v>6070.0</v>
      </c>
      <c r="B36" s="20" t="s">
        <v>35</v>
      </c>
      <c r="C36" s="39"/>
      <c r="D36" s="22">
        <f>50000</f>
        <v>50000</v>
      </c>
      <c r="E36" s="38">
        <f t="shared" si="4"/>
        <v>28</v>
      </c>
    </row>
    <row r="37" ht="15.75" customHeight="1">
      <c r="A37" s="19">
        <v>6071.0</v>
      </c>
      <c r="B37" s="20" t="s">
        <v>36</v>
      </c>
      <c r="C37" s="39"/>
      <c r="D37" s="29">
        <v>67500.0</v>
      </c>
      <c r="E37" s="38">
        <f t="shared" si="4"/>
        <v>29</v>
      </c>
    </row>
    <row r="38" ht="15.75" customHeight="1">
      <c r="A38" s="19">
        <v>6072.0</v>
      </c>
      <c r="B38" s="20" t="s">
        <v>37</v>
      </c>
      <c r="C38" s="39"/>
      <c r="D38" s="22">
        <f>2000+12*2050+25000-3*2050</f>
        <v>45450</v>
      </c>
      <c r="E38" s="38">
        <f t="shared" si="4"/>
        <v>30</v>
      </c>
    </row>
    <row r="39" ht="15.75" customHeight="1">
      <c r="A39" s="19">
        <v>6074.0</v>
      </c>
      <c r="B39" s="20" t="s">
        <v>38</v>
      </c>
      <c r="C39" s="39"/>
      <c r="D39" s="22">
        <f>190000*1.05263</f>
        <v>199999.7</v>
      </c>
      <c r="E39" s="38">
        <f t="shared" si="4"/>
        <v>31</v>
      </c>
    </row>
    <row r="40" ht="15.75" customHeight="1">
      <c r="A40" s="19">
        <v>6410.0</v>
      </c>
      <c r="B40" s="20" t="s">
        <v>39</v>
      </c>
      <c r="C40" s="39"/>
      <c r="D40" s="22">
        <f>((5.9*10*12052)/0.7)*1.3142+67880</f>
        <v>1402859.379</v>
      </c>
      <c r="E40" s="38">
        <f t="shared" si="4"/>
        <v>32</v>
      </c>
    </row>
    <row r="41" ht="15.75" customHeight="1">
      <c r="A41" s="27">
        <v>7510.0</v>
      </c>
      <c r="B41" s="28" t="s">
        <v>40</v>
      </c>
      <c r="C41" s="39"/>
      <c r="D41" s="22">
        <v>0.0</v>
      </c>
      <c r="E41" s="38">
        <f t="shared" si="4"/>
        <v>33</v>
      </c>
    </row>
    <row r="42" ht="15.75" customHeight="1">
      <c r="A42" s="19"/>
      <c r="B42" s="30" t="s">
        <v>19</v>
      </c>
      <c r="C42" s="31">
        <f t="shared" ref="C42:D42" si="5">SUM(C20:C41)</f>
        <v>10000</v>
      </c>
      <c r="D42" s="32">
        <f t="shared" si="5"/>
        <v>2041754.079</v>
      </c>
      <c r="E42" s="40"/>
    </row>
    <row r="43" ht="15.75" customHeight="1">
      <c r="A43" s="33"/>
      <c r="B43" s="30" t="s">
        <v>20</v>
      </c>
      <c r="C43" s="31"/>
      <c r="D43" s="32">
        <f>C42-D42</f>
        <v>-2031754.079</v>
      </c>
      <c r="E43" s="40"/>
    </row>
    <row r="44" ht="15.75" customHeight="1">
      <c r="A44" s="34">
        <v>102302.0</v>
      </c>
      <c r="B44" s="18" t="s">
        <v>41</v>
      </c>
      <c r="C44" s="41"/>
      <c r="D44" s="42"/>
      <c r="E44" s="43"/>
    </row>
    <row r="45" ht="15.75" customHeight="1">
      <c r="A45" s="19">
        <v>4047.0</v>
      </c>
      <c r="B45" s="20" t="s">
        <v>14</v>
      </c>
      <c r="C45" s="39"/>
      <c r="D45" s="22">
        <v>0.0</v>
      </c>
      <c r="E45" s="25">
        <f>E41+1</f>
        <v>34</v>
      </c>
    </row>
    <row r="46" ht="15.75" customHeight="1">
      <c r="A46" s="19">
        <v>4050.0</v>
      </c>
      <c r="B46" s="20" t="s">
        <v>42</v>
      </c>
      <c r="C46" s="39"/>
      <c r="D46" s="22">
        <f>0.3*D51</f>
        <v>300</v>
      </c>
      <c r="E46" s="25">
        <f t="shared" ref="E46:E51" si="6">E45+1</f>
        <v>35</v>
      </c>
    </row>
    <row r="47" ht="15.75" customHeight="1">
      <c r="A47" s="19">
        <v>4075.0</v>
      </c>
      <c r="B47" s="20" t="s">
        <v>43</v>
      </c>
      <c r="C47" s="39"/>
      <c r="D47" s="22">
        <v>1500.0</v>
      </c>
      <c r="E47" s="25">
        <f t="shared" si="6"/>
        <v>36</v>
      </c>
    </row>
    <row r="48" ht="15.75" customHeight="1">
      <c r="A48" s="19">
        <v>4080.0</v>
      </c>
      <c r="B48" s="44" t="s">
        <v>31</v>
      </c>
      <c r="C48" s="39"/>
      <c r="D48" s="22">
        <v>4000.0</v>
      </c>
      <c r="E48" s="25">
        <f t="shared" si="6"/>
        <v>37</v>
      </c>
    </row>
    <row r="49" ht="15.75" customHeight="1">
      <c r="A49" s="19">
        <v>4081.0</v>
      </c>
      <c r="B49" s="44" t="s">
        <v>44</v>
      </c>
      <c r="C49" s="39"/>
      <c r="D49" s="22">
        <v>4000.0</v>
      </c>
      <c r="E49" s="25">
        <f t="shared" si="6"/>
        <v>38</v>
      </c>
    </row>
    <row r="50" ht="15.75" customHeight="1">
      <c r="A50" s="19">
        <v>4082.0</v>
      </c>
      <c r="B50" s="44" t="s">
        <v>45</v>
      </c>
      <c r="C50" s="39"/>
      <c r="D50" s="22">
        <v>400.0</v>
      </c>
      <c r="E50" s="25">
        <f t="shared" si="6"/>
        <v>39</v>
      </c>
    </row>
    <row r="51" ht="15.75" customHeight="1">
      <c r="A51" s="19">
        <v>4190.0</v>
      </c>
      <c r="B51" s="44" t="s">
        <v>32</v>
      </c>
      <c r="C51" s="39"/>
      <c r="D51" s="22">
        <v>1000.0</v>
      </c>
      <c r="E51" s="25">
        <f t="shared" si="6"/>
        <v>40</v>
      </c>
    </row>
    <row r="52" ht="15.75" customHeight="1">
      <c r="A52" s="19"/>
      <c r="B52" s="30" t="s">
        <v>19</v>
      </c>
      <c r="C52" s="31">
        <f t="shared" ref="C52:D52" si="7">SUM(C45:C51)</f>
        <v>0</v>
      </c>
      <c r="D52" s="32">
        <f t="shared" si="7"/>
        <v>11200</v>
      </c>
      <c r="E52" s="25"/>
    </row>
    <row r="53" ht="15.75" customHeight="1">
      <c r="A53" s="33"/>
      <c r="B53" s="30" t="s">
        <v>20</v>
      </c>
      <c r="C53" s="31"/>
      <c r="D53" s="32">
        <f>C52-D52</f>
        <v>-11200</v>
      </c>
      <c r="E53" s="40"/>
    </row>
    <row r="54" ht="15.75" customHeight="1">
      <c r="A54" s="34">
        <v>102303.0</v>
      </c>
      <c r="B54" s="18" t="s">
        <v>46</v>
      </c>
      <c r="C54" s="41"/>
      <c r="D54" s="42"/>
      <c r="E54" s="45"/>
    </row>
    <row r="55" ht="15.75" customHeight="1">
      <c r="A55" s="19">
        <v>3011.0</v>
      </c>
      <c r="B55" s="20" t="s">
        <v>22</v>
      </c>
      <c r="C55" s="39"/>
      <c r="D55" s="22"/>
      <c r="E55" s="40">
        <f>E51+1</f>
        <v>41</v>
      </c>
    </row>
    <row r="56" ht="15.75" customHeight="1">
      <c r="A56" s="19">
        <v>4047.0</v>
      </c>
      <c r="B56" s="20" t="s">
        <v>14</v>
      </c>
      <c r="C56" s="39"/>
      <c r="D56" s="22">
        <f>32000+25*400</f>
        <v>42000</v>
      </c>
      <c r="E56" s="40">
        <f t="shared" ref="E56:E60" si="8">E55+1</f>
        <v>42</v>
      </c>
    </row>
    <row r="57" ht="15.75" customHeight="1">
      <c r="A57" s="19">
        <v>4047.0</v>
      </c>
      <c r="B57" s="20" t="s">
        <v>14</v>
      </c>
      <c r="C57" s="39"/>
      <c r="D57" s="22">
        <v>0.0</v>
      </c>
      <c r="E57" s="25">
        <f t="shared" si="8"/>
        <v>43</v>
      </c>
    </row>
    <row r="58" ht="15.75" customHeight="1">
      <c r="A58" s="19">
        <v>4076.0</v>
      </c>
      <c r="B58" s="20" t="s">
        <v>29</v>
      </c>
      <c r="C58" s="39"/>
      <c r="D58" s="22">
        <f>12000+2000</f>
        <v>14000</v>
      </c>
      <c r="E58" s="25">
        <f t="shared" si="8"/>
        <v>44</v>
      </c>
    </row>
    <row r="59" ht="15.75" customHeight="1">
      <c r="A59" s="19">
        <v>4190.0</v>
      </c>
      <c r="B59" s="20" t="s">
        <v>32</v>
      </c>
      <c r="C59" s="39"/>
      <c r="D59" s="22">
        <f>D33*(3/12)</f>
        <v>13125</v>
      </c>
      <c r="E59" s="25">
        <f t="shared" si="8"/>
        <v>45</v>
      </c>
    </row>
    <row r="60" ht="15.75" customHeight="1">
      <c r="A60" s="19">
        <v>5810.0</v>
      </c>
      <c r="B60" s="20" t="s">
        <v>34</v>
      </c>
      <c r="C60" s="39"/>
      <c r="D60" s="22">
        <f>7000</f>
        <v>7000</v>
      </c>
      <c r="E60" s="25">
        <f t="shared" si="8"/>
        <v>46</v>
      </c>
    </row>
    <row r="61" ht="15.75" customHeight="1">
      <c r="A61" s="19"/>
      <c r="B61" s="30" t="s">
        <v>19</v>
      </c>
      <c r="C61" s="31">
        <f t="shared" ref="C61:D61" si="9">SUM(C55:C60)</f>
        <v>0</v>
      </c>
      <c r="D61" s="32">
        <f t="shared" si="9"/>
        <v>76125</v>
      </c>
      <c r="E61" s="25"/>
    </row>
    <row r="62" ht="15.75" customHeight="1">
      <c r="A62" s="33"/>
      <c r="B62" s="30" t="s">
        <v>20</v>
      </c>
      <c r="C62" s="31"/>
      <c r="D62" s="32">
        <f>C61-D61</f>
        <v>-76125</v>
      </c>
      <c r="E62" s="40"/>
    </row>
    <row r="63" ht="15.75" customHeight="1">
      <c r="A63" s="34">
        <v>102304.0</v>
      </c>
      <c r="B63" s="46" t="s">
        <v>47</v>
      </c>
      <c r="C63" s="41"/>
      <c r="D63" s="42"/>
      <c r="E63" s="45"/>
    </row>
    <row r="64" ht="15.75" customHeight="1">
      <c r="A64" s="19">
        <v>3011.0</v>
      </c>
      <c r="B64" s="20" t="s">
        <v>22</v>
      </c>
      <c r="C64" s="39">
        <f>350*25</f>
        <v>8750</v>
      </c>
      <c r="D64" s="22"/>
      <c r="E64" s="25">
        <f>E60+1</f>
        <v>47</v>
      </c>
    </row>
    <row r="65" ht="15.75" customHeight="1">
      <c r="A65" s="19">
        <v>4010.0</v>
      </c>
      <c r="B65" s="20" t="s">
        <v>48</v>
      </c>
      <c r="C65" s="39"/>
      <c r="D65" s="29">
        <v>8750.0</v>
      </c>
      <c r="E65" s="25">
        <f>E64+1</f>
        <v>48</v>
      </c>
    </row>
    <row r="66" ht="15.75" customHeight="1">
      <c r="A66" s="19"/>
      <c r="B66" s="30" t="s">
        <v>19</v>
      </c>
      <c r="C66" s="31">
        <f t="shared" ref="C66:D66" si="10">SUM(C64:C65)</f>
        <v>8750</v>
      </c>
      <c r="D66" s="32">
        <f t="shared" si="10"/>
        <v>8750</v>
      </c>
      <c r="E66" s="25"/>
    </row>
    <row r="67" ht="15.75" customHeight="1">
      <c r="A67" s="33"/>
      <c r="B67" s="30" t="s">
        <v>20</v>
      </c>
      <c r="C67" s="31"/>
      <c r="D67" s="32">
        <f>C66-D66</f>
        <v>0</v>
      </c>
      <c r="E67" s="40"/>
    </row>
    <row r="68" ht="15.75" customHeight="1">
      <c r="A68" s="34">
        <v>102305.0</v>
      </c>
      <c r="B68" s="18" t="s">
        <v>49</v>
      </c>
      <c r="C68" s="12">
        <v>0.0</v>
      </c>
      <c r="D68" s="13">
        <v>0.0</v>
      </c>
      <c r="E68" s="37"/>
    </row>
    <row r="69" ht="15.75" hidden="1" customHeight="1">
      <c r="A69" s="47">
        <v>4190.0</v>
      </c>
      <c r="B69" s="48" t="s">
        <v>32</v>
      </c>
      <c r="C69" s="35"/>
      <c r="D69" s="36"/>
      <c r="E69" s="37"/>
    </row>
    <row r="70" ht="15.75" hidden="1" customHeight="1">
      <c r="A70" s="47">
        <v>5050.0</v>
      </c>
      <c r="B70" s="48" t="s">
        <v>33</v>
      </c>
      <c r="C70" s="35"/>
      <c r="D70" s="36"/>
      <c r="E70" s="37"/>
    </row>
    <row r="71" ht="15.75" hidden="1" customHeight="1">
      <c r="A71" s="47">
        <v>5460.0</v>
      </c>
      <c r="B71" s="48" t="s">
        <v>50</v>
      </c>
      <c r="C71" s="35"/>
      <c r="D71" s="36"/>
      <c r="E71" s="37"/>
    </row>
    <row r="72" ht="15.75" hidden="1" customHeight="1">
      <c r="A72" s="47">
        <v>4060.0</v>
      </c>
      <c r="B72" s="48" t="s">
        <v>27</v>
      </c>
      <c r="C72" s="35"/>
      <c r="D72" s="36"/>
      <c r="E72" s="37"/>
    </row>
    <row r="73" ht="15.75" hidden="1" customHeight="1">
      <c r="A73" s="47">
        <v>6070.0</v>
      </c>
      <c r="B73" s="48" t="s">
        <v>35</v>
      </c>
      <c r="C73" s="35"/>
      <c r="D73" s="36"/>
      <c r="E73" s="37"/>
    </row>
    <row r="74" ht="15.75" hidden="1" customHeight="1">
      <c r="A74" s="47"/>
      <c r="B74" s="18" t="s">
        <v>19</v>
      </c>
      <c r="C74" s="12">
        <f t="shared" ref="C74:D74" si="11">SUM(C69:C73)</f>
        <v>0</v>
      </c>
      <c r="D74" s="13">
        <f t="shared" si="11"/>
        <v>0</v>
      </c>
      <c r="E74" s="37"/>
    </row>
    <row r="75" ht="15.75" hidden="1" customHeight="1">
      <c r="A75" s="49"/>
      <c r="B75" s="18" t="s">
        <v>20</v>
      </c>
      <c r="C75" s="35"/>
      <c r="D75" s="50">
        <f>C74-D74</f>
        <v>0</v>
      </c>
      <c r="E75" s="37"/>
    </row>
    <row r="76" ht="15.75" hidden="1" customHeight="1">
      <c r="A76" s="51" t="s">
        <v>51</v>
      </c>
      <c r="B76" s="18" t="s">
        <v>52</v>
      </c>
      <c r="C76" s="12">
        <v>0.0</v>
      </c>
      <c r="D76" s="13">
        <v>0.0</v>
      </c>
      <c r="E76" s="37"/>
    </row>
    <row r="77" ht="15.75" hidden="1" customHeight="1">
      <c r="A77" s="47">
        <v>4076.0</v>
      </c>
      <c r="B77" s="18" t="s">
        <v>29</v>
      </c>
      <c r="C77" s="35"/>
      <c r="D77" s="13">
        <v>0.0</v>
      </c>
      <c r="E77" s="37"/>
    </row>
    <row r="78" ht="15.75" hidden="1" customHeight="1">
      <c r="A78" s="47">
        <v>4190.0</v>
      </c>
      <c r="B78" s="48" t="s">
        <v>32</v>
      </c>
      <c r="C78" s="35"/>
      <c r="D78" s="13">
        <v>0.0</v>
      </c>
      <c r="E78" s="37"/>
    </row>
    <row r="79" ht="15.75" hidden="1" customHeight="1">
      <c r="A79" s="47">
        <v>6070.0</v>
      </c>
      <c r="B79" s="48" t="s">
        <v>35</v>
      </c>
      <c r="C79" s="35"/>
      <c r="D79" s="13">
        <v>0.0</v>
      </c>
      <c r="E79" s="37"/>
    </row>
    <row r="80" ht="15.75" hidden="1" customHeight="1">
      <c r="A80" s="47"/>
      <c r="B80" s="18" t="s">
        <v>19</v>
      </c>
      <c r="C80" s="12">
        <f t="shared" ref="C80:D80" si="12">SUM(C77:C79)</f>
        <v>0</v>
      </c>
      <c r="D80" s="13">
        <f t="shared" si="12"/>
        <v>0</v>
      </c>
      <c r="E80" s="37"/>
    </row>
    <row r="81" ht="15.75" hidden="1" customHeight="1">
      <c r="A81" s="49"/>
      <c r="B81" s="18" t="s">
        <v>20</v>
      </c>
      <c r="C81" s="35"/>
      <c r="D81" s="50">
        <f>C80-D80</f>
        <v>0</v>
      </c>
      <c r="E81" s="37"/>
    </row>
    <row r="82" ht="15.75" customHeight="1">
      <c r="A82" s="34">
        <v>102307.0</v>
      </c>
      <c r="B82" s="18" t="s">
        <v>53</v>
      </c>
      <c r="C82" s="12">
        <v>0.0</v>
      </c>
      <c r="D82" s="13">
        <v>0.0</v>
      </c>
      <c r="E82" s="37"/>
    </row>
    <row r="83" ht="15.75" hidden="1" customHeight="1">
      <c r="A83" s="19">
        <v>3010.0</v>
      </c>
      <c r="B83" s="20" t="s">
        <v>54</v>
      </c>
      <c r="C83" s="39">
        <v>0.0</v>
      </c>
      <c r="D83" s="22"/>
      <c r="E83" s="25">
        <f>E65+1</f>
        <v>49</v>
      </c>
    </row>
    <row r="84" ht="15.75" hidden="1" customHeight="1">
      <c r="A84" s="19">
        <v>3011.0</v>
      </c>
      <c r="B84" s="20" t="s">
        <v>22</v>
      </c>
      <c r="C84" s="39">
        <v>0.0</v>
      </c>
      <c r="D84" s="22"/>
      <c r="E84" s="25">
        <f t="shared" ref="E84:E89" si="13">E83+1</f>
        <v>50</v>
      </c>
    </row>
    <row r="85" ht="15.75" hidden="1" customHeight="1">
      <c r="A85" s="19">
        <v>3014.0</v>
      </c>
      <c r="B85" s="20" t="s">
        <v>55</v>
      </c>
      <c r="C85" s="39">
        <v>0.0</v>
      </c>
      <c r="D85" s="22"/>
      <c r="E85" s="25">
        <f t="shared" si="13"/>
        <v>51</v>
      </c>
    </row>
    <row r="86" ht="15.75" hidden="1" customHeight="1">
      <c r="A86" s="19">
        <v>4047.0</v>
      </c>
      <c r="B86" s="20" t="s">
        <v>14</v>
      </c>
      <c r="C86" s="39"/>
      <c r="D86" s="22">
        <v>0.0</v>
      </c>
      <c r="E86" s="25">
        <f t="shared" si="13"/>
        <v>52</v>
      </c>
    </row>
    <row r="87" ht="15.75" hidden="1" customHeight="1">
      <c r="A87" s="19">
        <v>4076.0</v>
      </c>
      <c r="B87" s="20" t="s">
        <v>29</v>
      </c>
      <c r="C87" s="39"/>
      <c r="D87" s="22">
        <v>0.0</v>
      </c>
      <c r="E87" s="25">
        <f t="shared" si="13"/>
        <v>53</v>
      </c>
    </row>
    <row r="88" ht="15.75" hidden="1" customHeight="1">
      <c r="A88" s="19">
        <v>5010.0</v>
      </c>
      <c r="B88" s="20" t="s">
        <v>56</v>
      </c>
      <c r="C88" s="39"/>
      <c r="D88" s="22">
        <v>0.0</v>
      </c>
      <c r="E88" s="25">
        <f t="shared" si="13"/>
        <v>54</v>
      </c>
    </row>
    <row r="89" ht="15.75" hidden="1" customHeight="1">
      <c r="A89" s="19">
        <v>4078.0</v>
      </c>
      <c r="B89" s="20" t="s">
        <v>30</v>
      </c>
      <c r="C89" s="39"/>
      <c r="D89" s="22">
        <v>0.0</v>
      </c>
      <c r="E89" s="25">
        <f t="shared" si="13"/>
        <v>55</v>
      </c>
    </row>
    <row r="90" ht="15.75" hidden="1" customHeight="1">
      <c r="A90" s="19"/>
      <c r="B90" s="30" t="s">
        <v>19</v>
      </c>
      <c r="C90" s="31">
        <f t="shared" ref="C90:D90" si="14">SUM(C83:C89)</f>
        <v>0</v>
      </c>
      <c r="D90" s="32">
        <f t="shared" si="14"/>
        <v>0</v>
      </c>
      <c r="E90" s="25"/>
    </row>
    <row r="91" ht="15.75" hidden="1" customHeight="1">
      <c r="A91" s="33"/>
      <c r="B91" s="30" t="s">
        <v>20</v>
      </c>
      <c r="C91" s="31"/>
      <c r="D91" s="32">
        <f>C90-D90</f>
        <v>0</v>
      </c>
      <c r="E91" s="40"/>
    </row>
    <row r="92" ht="15.75" customHeight="1">
      <c r="A92" s="34">
        <v>102308.0</v>
      </c>
      <c r="B92" s="18" t="s">
        <v>57</v>
      </c>
      <c r="C92" s="35"/>
      <c r="D92" s="36"/>
      <c r="E92" s="37"/>
    </row>
    <row r="93" ht="15.75" customHeight="1">
      <c r="A93" s="19">
        <v>4065.0</v>
      </c>
      <c r="B93" s="20" t="s">
        <v>16</v>
      </c>
      <c r="C93" s="39"/>
      <c r="D93" s="22">
        <v>12000.0</v>
      </c>
      <c r="E93" s="40">
        <f>E89+1</f>
        <v>56</v>
      </c>
    </row>
    <row r="94" ht="15.75" customHeight="1">
      <c r="A94" s="52">
        <v>4076.0</v>
      </c>
      <c r="B94" s="20" t="s">
        <v>29</v>
      </c>
      <c r="C94" s="53"/>
      <c r="D94" s="29">
        <v>4500.0</v>
      </c>
      <c r="E94" s="24">
        <f t="shared" ref="E94:E98" si="15">E93+1</f>
        <v>57</v>
      </c>
    </row>
    <row r="95" ht="15.75" customHeight="1">
      <c r="A95" s="19">
        <v>4120.0</v>
      </c>
      <c r="B95" s="20" t="s">
        <v>15</v>
      </c>
      <c r="C95" s="39"/>
      <c r="D95" s="22">
        <v>24000.0</v>
      </c>
      <c r="E95" s="40">
        <f t="shared" si="15"/>
        <v>58</v>
      </c>
    </row>
    <row r="96" ht="15.75" customHeight="1">
      <c r="A96" s="19">
        <v>4081.0</v>
      </c>
      <c r="B96" s="44" t="s">
        <v>44</v>
      </c>
      <c r="C96" s="39"/>
      <c r="D96" s="29">
        <v>2000.0</v>
      </c>
      <c r="E96" s="40">
        <f t="shared" si="15"/>
        <v>59</v>
      </c>
    </row>
    <row r="97" ht="15.75" customHeight="1">
      <c r="A97" s="19">
        <v>7210.0</v>
      </c>
      <c r="B97" s="20" t="s">
        <v>18</v>
      </c>
      <c r="C97" s="39"/>
      <c r="D97" s="22">
        <f>(32876*1.021)*9.9*1.3142+6575</f>
        <v>443293.2805</v>
      </c>
      <c r="E97" s="25">
        <f t="shared" si="15"/>
        <v>60</v>
      </c>
    </row>
    <row r="98" ht="15.75" customHeight="1">
      <c r="A98" s="19">
        <v>7699.0</v>
      </c>
      <c r="B98" s="20" t="s">
        <v>58</v>
      </c>
      <c r="C98" s="39"/>
      <c r="D98" s="54">
        <f>250*12</f>
        <v>3000</v>
      </c>
      <c r="E98" s="25">
        <f t="shared" si="15"/>
        <v>61</v>
      </c>
    </row>
    <row r="99" ht="15.75" customHeight="1">
      <c r="A99" s="19"/>
      <c r="B99" s="30" t="s">
        <v>19</v>
      </c>
      <c r="C99" s="31">
        <f t="shared" ref="C99:D99" si="16">sum(C93:C98)</f>
        <v>0</v>
      </c>
      <c r="D99" s="32">
        <f t="shared" si="16"/>
        <v>488793.2805</v>
      </c>
      <c r="E99" s="25"/>
    </row>
    <row r="100" ht="15.75" customHeight="1">
      <c r="A100" s="33"/>
      <c r="B100" s="30" t="s">
        <v>20</v>
      </c>
      <c r="C100" s="31"/>
      <c r="D100" s="32">
        <f>C99-D99</f>
        <v>-488793.2805</v>
      </c>
      <c r="E100" s="40"/>
    </row>
    <row r="101" ht="15.75" customHeight="1">
      <c r="A101" s="34">
        <v>102309.0</v>
      </c>
      <c r="B101" s="18" t="s">
        <v>59</v>
      </c>
      <c r="C101" s="55"/>
      <c r="D101" s="36"/>
      <c r="E101" s="56"/>
    </row>
    <row r="102" ht="15.75" hidden="1" customHeight="1">
      <c r="A102" s="52">
        <v>3011.0</v>
      </c>
      <c r="B102" s="20" t="s">
        <v>22</v>
      </c>
      <c r="C102" s="31">
        <v>0.0</v>
      </c>
      <c r="D102" s="57"/>
      <c r="E102" s="40">
        <f>E98+1</f>
        <v>62</v>
      </c>
    </row>
    <row r="103" ht="15.75" hidden="1" customHeight="1">
      <c r="A103" s="52">
        <v>3012.0</v>
      </c>
      <c r="B103" s="20" t="s">
        <v>55</v>
      </c>
      <c r="C103" s="31">
        <v>0.0</v>
      </c>
      <c r="D103" s="57"/>
      <c r="E103" s="40">
        <f t="shared" ref="E103:E108" si="17">E102+1</f>
        <v>63</v>
      </c>
    </row>
    <row r="104" ht="15.75" hidden="1" customHeight="1">
      <c r="A104" s="52">
        <v>4012.0</v>
      </c>
      <c r="B104" s="20" t="s">
        <v>60</v>
      </c>
      <c r="C104" s="31"/>
      <c r="D104" s="57">
        <v>0.0</v>
      </c>
      <c r="E104" s="40">
        <f t="shared" si="17"/>
        <v>64</v>
      </c>
    </row>
    <row r="105" ht="15.75" hidden="1" customHeight="1">
      <c r="A105" s="52">
        <v>4047.0</v>
      </c>
      <c r="B105" s="20" t="s">
        <v>14</v>
      </c>
      <c r="C105" s="31"/>
      <c r="D105" s="57">
        <v>0.0</v>
      </c>
      <c r="E105" s="40">
        <f t="shared" si="17"/>
        <v>65</v>
      </c>
    </row>
    <row r="106" ht="15.75" hidden="1" customHeight="1">
      <c r="A106" s="52">
        <v>4076.0</v>
      </c>
      <c r="B106" s="20" t="s">
        <v>29</v>
      </c>
      <c r="C106" s="31"/>
      <c r="D106" s="57">
        <v>0.0</v>
      </c>
      <c r="E106" s="40">
        <f t="shared" si="17"/>
        <v>66</v>
      </c>
    </row>
    <row r="107" ht="15.75" hidden="1" customHeight="1">
      <c r="A107" s="52">
        <v>5010.0</v>
      </c>
      <c r="B107" s="20" t="s">
        <v>61</v>
      </c>
      <c r="C107" s="31"/>
      <c r="D107" s="57">
        <v>0.0</v>
      </c>
      <c r="E107" s="40">
        <f t="shared" si="17"/>
        <v>67</v>
      </c>
    </row>
    <row r="108" ht="15.75" hidden="1" customHeight="1">
      <c r="A108" s="52">
        <v>5810.0</v>
      </c>
      <c r="B108" s="20" t="s">
        <v>34</v>
      </c>
      <c r="C108" s="31"/>
      <c r="D108" s="57">
        <v>0.0</v>
      </c>
      <c r="E108" s="40">
        <f t="shared" si="17"/>
        <v>68</v>
      </c>
    </row>
    <row r="109" ht="15.75" hidden="1" customHeight="1">
      <c r="A109" s="52"/>
      <c r="B109" s="30" t="s">
        <v>19</v>
      </c>
      <c r="C109" s="31">
        <f t="shared" ref="C109:D109" si="18">SUM(C102:C108)</f>
        <v>0</v>
      </c>
      <c r="D109" s="32">
        <f t="shared" si="18"/>
        <v>0</v>
      </c>
      <c r="E109" s="40"/>
    </row>
    <row r="110" ht="15.75" hidden="1" customHeight="1">
      <c r="A110" s="52"/>
      <c r="B110" s="30" t="s">
        <v>20</v>
      </c>
      <c r="C110" s="31"/>
      <c r="D110" s="32">
        <f>C109-D109</f>
        <v>0</v>
      </c>
      <c r="E110" s="40"/>
    </row>
    <row r="111" ht="15.75" customHeight="1">
      <c r="A111" s="10"/>
      <c r="B111" s="58" t="s">
        <v>62</v>
      </c>
      <c r="C111" s="12">
        <f t="shared" ref="C111:D111" si="19">C66+C52+C42+C17+C61+C99+C90+C109</f>
        <v>1197560</v>
      </c>
      <c r="D111" s="13">
        <f t="shared" si="19"/>
        <v>2770122.36</v>
      </c>
      <c r="E111" s="37"/>
    </row>
    <row r="112" ht="15.75" customHeight="1">
      <c r="A112" s="59"/>
      <c r="B112" s="60" t="s">
        <v>63</v>
      </c>
      <c r="C112" s="41"/>
      <c r="D112" s="61">
        <f>C111-D111</f>
        <v>-1572562.36</v>
      </c>
      <c r="E112" s="43"/>
    </row>
    <row r="113" ht="15.75" customHeight="1">
      <c r="A113" s="62"/>
      <c r="B113" s="63"/>
      <c r="C113" s="64"/>
      <c r="D113" s="65"/>
      <c r="E113" s="25"/>
    </row>
    <row r="114" ht="15.75" customHeight="1">
      <c r="A114" s="62"/>
      <c r="B114" s="63"/>
      <c r="C114" s="64"/>
      <c r="D114" s="65"/>
      <c r="E114" s="25"/>
    </row>
    <row r="115" ht="15.75" customHeight="1">
      <c r="A115" s="6"/>
      <c r="B115" s="15" t="s">
        <v>64</v>
      </c>
      <c r="C115" s="16" t="s">
        <v>6</v>
      </c>
      <c r="D115" s="5"/>
      <c r="E115" s="9"/>
    </row>
    <row r="116" ht="15.75" customHeight="1">
      <c r="A116" s="17">
        <v>112300.0</v>
      </c>
      <c r="B116" s="18" t="s">
        <v>65</v>
      </c>
      <c r="C116" s="12" t="s">
        <v>2</v>
      </c>
      <c r="D116" s="13" t="s">
        <v>3</v>
      </c>
      <c r="E116" s="14" t="s">
        <v>4</v>
      </c>
    </row>
    <row r="117" ht="15.75" customHeight="1">
      <c r="A117" s="52">
        <v>4010.0</v>
      </c>
      <c r="B117" s="20" t="s">
        <v>48</v>
      </c>
      <c r="C117" s="39"/>
      <c r="D117" s="29">
        <v>0.0</v>
      </c>
      <c r="E117" s="25">
        <v>1.0</v>
      </c>
    </row>
    <row r="118" ht="15.75" customHeight="1">
      <c r="A118" s="52">
        <v>4041.0</v>
      </c>
      <c r="B118" s="20" t="s">
        <v>66</v>
      </c>
      <c r="C118" s="39"/>
      <c r="D118" s="22">
        <v>20000.0</v>
      </c>
      <c r="E118" s="40">
        <v>2.0</v>
      </c>
    </row>
    <row r="119" ht="15.75" customHeight="1">
      <c r="A119" s="52">
        <v>4042.0</v>
      </c>
      <c r="B119" s="20" t="s">
        <v>67</v>
      </c>
      <c r="C119" s="39"/>
      <c r="D119" s="22">
        <v>1000.0</v>
      </c>
      <c r="E119" s="40">
        <v>3.0</v>
      </c>
    </row>
    <row r="120" ht="15.75" customHeight="1">
      <c r="A120" s="52">
        <v>4044.0</v>
      </c>
      <c r="B120" s="20" t="s">
        <v>68</v>
      </c>
      <c r="C120" s="39"/>
      <c r="D120" s="22">
        <v>30000.0</v>
      </c>
      <c r="E120" s="40">
        <f t="shared" ref="E120:E132" si="20">E119+1</f>
        <v>4</v>
      </c>
    </row>
    <row r="121" ht="15.75" customHeight="1">
      <c r="A121" s="52">
        <v>4045.0</v>
      </c>
      <c r="B121" s="20" t="s">
        <v>26</v>
      </c>
      <c r="C121" s="39"/>
      <c r="D121" s="29">
        <f>20000</f>
        <v>20000</v>
      </c>
      <c r="E121" s="40">
        <f t="shared" si="20"/>
        <v>5</v>
      </c>
    </row>
    <row r="122" ht="15.75" customHeight="1">
      <c r="A122" s="52">
        <v>4048.0</v>
      </c>
      <c r="B122" s="44" t="s">
        <v>69</v>
      </c>
      <c r="C122" s="39"/>
      <c r="D122" s="22">
        <v>0.0</v>
      </c>
      <c r="E122" s="25">
        <f t="shared" si="20"/>
        <v>6</v>
      </c>
    </row>
    <row r="123" ht="15.75" customHeight="1">
      <c r="A123" s="52">
        <v>4060.0</v>
      </c>
      <c r="B123" s="20" t="s">
        <v>27</v>
      </c>
      <c r="C123" s="39"/>
      <c r="D123" s="22">
        <v>12000.0</v>
      </c>
      <c r="E123" s="40">
        <f t="shared" si="20"/>
        <v>7</v>
      </c>
    </row>
    <row r="124" ht="15.75" customHeight="1">
      <c r="A124" s="52">
        <v>4063.0</v>
      </c>
      <c r="B124" s="20" t="s">
        <v>70</v>
      </c>
      <c r="C124" s="39"/>
      <c r="D124" s="22">
        <f>1500+3000</f>
        <v>4500</v>
      </c>
      <c r="E124" s="40">
        <f t="shared" si="20"/>
        <v>8</v>
      </c>
    </row>
    <row r="125" ht="15.75" customHeight="1">
      <c r="A125" s="52">
        <v>5050.0</v>
      </c>
      <c r="B125" s="20" t="s">
        <v>33</v>
      </c>
      <c r="C125" s="39"/>
      <c r="D125" s="22">
        <f>2000*7</f>
        <v>14000</v>
      </c>
      <c r="E125" s="40">
        <f t="shared" si="20"/>
        <v>9</v>
      </c>
    </row>
    <row r="126" ht="15.75" customHeight="1">
      <c r="A126" s="52">
        <v>5250.0</v>
      </c>
      <c r="B126" s="20" t="s">
        <v>71</v>
      </c>
      <c r="C126" s="39"/>
      <c r="D126" s="29">
        <f>37000+2000+693*2</f>
        <v>40386</v>
      </c>
      <c r="E126" s="40">
        <f t="shared" si="20"/>
        <v>10</v>
      </c>
    </row>
    <row r="127" ht="15.75" customHeight="1">
      <c r="A127" s="52">
        <v>5420.0</v>
      </c>
      <c r="B127" s="20" t="s">
        <v>72</v>
      </c>
      <c r="C127" s="39"/>
      <c r="D127" s="22">
        <f>165*12</f>
        <v>1980</v>
      </c>
      <c r="E127" s="40">
        <f t="shared" si="20"/>
        <v>11</v>
      </c>
    </row>
    <row r="128" ht="15.75" customHeight="1">
      <c r="A128" s="52">
        <v>5460.0</v>
      </c>
      <c r="B128" s="20" t="s">
        <v>50</v>
      </c>
      <c r="C128" s="39"/>
      <c r="D128" s="29">
        <v>65000.0</v>
      </c>
      <c r="E128" s="40">
        <f t="shared" si="20"/>
        <v>12</v>
      </c>
    </row>
    <row r="129" ht="15.75" customHeight="1">
      <c r="A129" s="52">
        <v>6211.0</v>
      </c>
      <c r="B129" s="20" t="s">
        <v>73</v>
      </c>
      <c r="C129" s="39"/>
      <c r="D129" s="22">
        <v>0.0</v>
      </c>
      <c r="E129" s="40">
        <f t="shared" si="20"/>
        <v>13</v>
      </c>
    </row>
    <row r="130" ht="15.75" customHeight="1">
      <c r="A130" s="52">
        <v>6250.0</v>
      </c>
      <c r="B130" s="20" t="s">
        <v>74</v>
      </c>
      <c r="C130" s="39"/>
      <c r="D130" s="29">
        <v>0.0</v>
      </c>
      <c r="E130" s="24">
        <f t="shared" si="20"/>
        <v>14</v>
      </c>
    </row>
    <row r="131" ht="15.75" customHeight="1">
      <c r="A131" s="52">
        <v>6310.0</v>
      </c>
      <c r="B131" s="20" t="s">
        <v>75</v>
      </c>
      <c r="C131" s="39"/>
      <c r="D131" s="22">
        <f>52000</f>
        <v>52000</v>
      </c>
      <c r="E131" s="40">
        <f t="shared" si="20"/>
        <v>15</v>
      </c>
    </row>
    <row r="132" ht="15.75" customHeight="1">
      <c r="A132" s="52">
        <v>6991.0</v>
      </c>
      <c r="B132" s="20" t="s">
        <v>76</v>
      </c>
      <c r="C132" s="39"/>
      <c r="D132" s="22">
        <v>0.0</v>
      </c>
      <c r="E132" s="25">
        <f t="shared" si="20"/>
        <v>16</v>
      </c>
    </row>
    <row r="133" ht="15.75" customHeight="1">
      <c r="A133" s="66"/>
      <c r="B133" s="30" t="s">
        <v>19</v>
      </c>
      <c r="C133" s="31">
        <f t="shared" ref="C133:D133" si="21">SUM(C117:C132)</f>
        <v>0</v>
      </c>
      <c r="D133" s="32">
        <f t="shared" si="21"/>
        <v>260866</v>
      </c>
      <c r="E133" s="25"/>
    </row>
    <row r="134" ht="15.75" customHeight="1">
      <c r="A134" s="33"/>
      <c r="B134" s="30" t="s">
        <v>20</v>
      </c>
      <c r="C134" s="39"/>
      <c r="D134" s="32">
        <f>C133-D133</f>
        <v>-260866</v>
      </c>
      <c r="E134" s="40"/>
    </row>
    <row r="135" ht="15.75" customHeight="1">
      <c r="A135" s="34">
        <v>112301.0</v>
      </c>
      <c r="B135" s="67" t="s">
        <v>77</v>
      </c>
      <c r="C135" s="35"/>
      <c r="D135" s="36"/>
      <c r="E135" s="37"/>
    </row>
    <row r="136" ht="15.75" customHeight="1">
      <c r="A136" s="27">
        <v>3031.0</v>
      </c>
      <c r="B136" s="20" t="s">
        <v>78</v>
      </c>
      <c r="C136" s="68">
        <v>0.0</v>
      </c>
      <c r="D136" s="22"/>
      <c r="E136" s="25">
        <v>17.0</v>
      </c>
    </row>
    <row r="137" ht="15.75" customHeight="1">
      <c r="A137" s="27">
        <v>3120.0</v>
      </c>
      <c r="B137" s="20" t="s">
        <v>8</v>
      </c>
      <c r="C137" s="39">
        <v>55000.0</v>
      </c>
      <c r="D137" s="22"/>
      <c r="E137" s="25">
        <v>18.0</v>
      </c>
    </row>
    <row r="138" ht="15.75" customHeight="1">
      <c r="A138" s="52">
        <v>3320.0</v>
      </c>
      <c r="B138" s="20" t="s">
        <v>61</v>
      </c>
      <c r="C138" s="68">
        <v>10000.0</v>
      </c>
      <c r="D138" s="22"/>
      <c r="E138" s="40">
        <f t="shared" ref="E138:E144" si="22">E137+1</f>
        <v>19</v>
      </c>
    </row>
    <row r="139" ht="15.75" customHeight="1">
      <c r="A139" s="52">
        <v>5070.0</v>
      </c>
      <c r="B139" s="20" t="s">
        <v>79</v>
      </c>
      <c r="C139" s="39"/>
      <c r="D139" s="29">
        <v>200000.0</v>
      </c>
      <c r="E139" s="40">
        <f t="shared" si="22"/>
        <v>20</v>
      </c>
    </row>
    <row r="140" ht="15.75" hidden="1" customHeight="1">
      <c r="A140" s="52">
        <v>5071.0</v>
      </c>
      <c r="B140" s="20" t="s">
        <v>80</v>
      </c>
      <c r="C140" s="39"/>
      <c r="D140" s="22">
        <v>0.0</v>
      </c>
      <c r="E140" s="40">
        <f t="shared" si="22"/>
        <v>21</v>
      </c>
    </row>
    <row r="141" ht="15.75" hidden="1" customHeight="1">
      <c r="A141" s="52">
        <v>5072.0</v>
      </c>
      <c r="B141" s="20" t="s">
        <v>81</v>
      </c>
      <c r="C141" s="39"/>
      <c r="D141" s="22">
        <v>0.0</v>
      </c>
      <c r="E141" s="40">
        <f t="shared" si="22"/>
        <v>22</v>
      </c>
    </row>
    <row r="142" ht="15.75" customHeight="1">
      <c r="A142" s="52">
        <v>5050.0</v>
      </c>
      <c r="B142" s="20" t="s">
        <v>33</v>
      </c>
      <c r="C142" s="39"/>
      <c r="D142" s="29">
        <v>55000.0</v>
      </c>
      <c r="E142" s="40">
        <f t="shared" si="22"/>
        <v>23</v>
      </c>
    </row>
    <row r="143" ht="15.75" customHeight="1">
      <c r="A143" s="52">
        <v>5061.0</v>
      </c>
      <c r="B143" s="20" t="s">
        <v>82</v>
      </c>
      <c r="C143" s="39"/>
      <c r="D143" s="22">
        <f>2063*12+17800+2604*1.25*20+2400*1.25</f>
        <v>110656</v>
      </c>
      <c r="E143" s="40">
        <f t="shared" si="22"/>
        <v>24</v>
      </c>
    </row>
    <row r="144" ht="15.75" customHeight="1">
      <c r="A144" s="69">
        <v>5062.0</v>
      </c>
      <c r="B144" s="28" t="s">
        <v>83</v>
      </c>
      <c r="C144" s="39"/>
      <c r="D144" s="29">
        <v>300000.0</v>
      </c>
      <c r="E144" s="40">
        <f t="shared" si="22"/>
        <v>25</v>
      </c>
    </row>
    <row r="145" ht="15.75" customHeight="1">
      <c r="A145" s="52">
        <v>5250.0</v>
      </c>
      <c r="B145" s="20" t="s">
        <v>71</v>
      </c>
      <c r="C145" s="39"/>
      <c r="D145" s="22">
        <v>0.0</v>
      </c>
      <c r="E145" s="40">
        <f>E143+1</f>
        <v>25</v>
      </c>
    </row>
    <row r="146" ht="15.75" customHeight="1">
      <c r="A146" s="52">
        <v>5461.0</v>
      </c>
      <c r="B146" s="20" t="s">
        <v>84</v>
      </c>
      <c r="C146" s="39"/>
      <c r="D146" s="22">
        <v>0.0</v>
      </c>
      <c r="E146" s="40">
        <v>24.0</v>
      </c>
    </row>
    <row r="147" ht="15.75" customHeight="1">
      <c r="A147" s="52">
        <v>5810.0</v>
      </c>
      <c r="B147" s="20" t="s">
        <v>34</v>
      </c>
      <c r="C147" s="39"/>
      <c r="D147" s="22">
        <v>10000.0</v>
      </c>
      <c r="E147" s="40">
        <f>E145+1</f>
        <v>26</v>
      </c>
    </row>
    <row r="148" ht="15.75" customHeight="1">
      <c r="A148" s="52">
        <v>6570.0</v>
      </c>
      <c r="B148" s="70" t="s">
        <v>85</v>
      </c>
      <c r="C148" s="39"/>
      <c r="D148" s="22">
        <v>0.0</v>
      </c>
      <c r="E148" s="40">
        <f>E147+1</f>
        <v>27</v>
      </c>
    </row>
    <row r="149" ht="15.75" customHeight="1">
      <c r="A149" s="52">
        <v>6991.0</v>
      </c>
      <c r="B149" s="20" t="s">
        <v>76</v>
      </c>
      <c r="C149" s="39"/>
      <c r="D149" s="29">
        <v>105000.0</v>
      </c>
      <c r="E149" s="25">
        <v>28.0</v>
      </c>
    </row>
    <row r="150" ht="15.75" customHeight="1">
      <c r="A150" s="52">
        <v>7830.0</v>
      </c>
      <c r="B150" s="20" t="s">
        <v>86</v>
      </c>
      <c r="C150" s="39"/>
      <c r="D150" s="22">
        <f>'VKO New Investments &amp; Depreciat'!$B$39</f>
        <v>244842.0667</v>
      </c>
      <c r="E150" s="25">
        <v>29.0</v>
      </c>
    </row>
    <row r="151" ht="15.75" customHeight="1">
      <c r="A151" s="66"/>
      <c r="B151" s="30" t="s">
        <v>19</v>
      </c>
      <c r="C151" s="31">
        <f t="shared" ref="C151:D151" si="23">SUM(C136:C150)</f>
        <v>65000</v>
      </c>
      <c r="D151" s="32">
        <f t="shared" si="23"/>
        <v>1025498.067</v>
      </c>
      <c r="E151" s="25"/>
    </row>
    <row r="152" ht="15.75" customHeight="1">
      <c r="A152" s="33"/>
      <c r="B152" s="30" t="s">
        <v>20</v>
      </c>
      <c r="C152" s="39"/>
      <c r="D152" s="32">
        <f>C151-D151</f>
        <v>-960498.0667</v>
      </c>
      <c r="E152" s="40"/>
    </row>
    <row r="153" ht="15.75" customHeight="1">
      <c r="A153" s="34">
        <v>112302.0</v>
      </c>
      <c r="B153" s="18" t="s">
        <v>87</v>
      </c>
      <c r="C153" s="35"/>
      <c r="D153" s="36"/>
      <c r="E153" s="37"/>
    </row>
    <row r="154" ht="15.75" customHeight="1">
      <c r="A154" s="52">
        <v>3011.0</v>
      </c>
      <c r="B154" s="44" t="s">
        <v>22</v>
      </c>
      <c r="C154" s="39">
        <v>0.0</v>
      </c>
      <c r="D154" s="22"/>
      <c r="E154" s="25">
        <f>E150+1</f>
        <v>30</v>
      </c>
    </row>
    <row r="155" ht="15.75" customHeight="1">
      <c r="A155" s="52">
        <v>3015.0</v>
      </c>
      <c r="B155" s="44" t="s">
        <v>88</v>
      </c>
      <c r="C155" s="68">
        <v>0.0</v>
      </c>
      <c r="D155" s="22"/>
      <c r="E155" s="40">
        <v>31.0</v>
      </c>
    </row>
    <row r="156" ht="15.75" customHeight="1">
      <c r="A156" s="69">
        <v>4010.0</v>
      </c>
      <c r="B156" s="71" t="s">
        <v>48</v>
      </c>
      <c r="C156" s="39"/>
      <c r="D156" s="29">
        <v>0.0</v>
      </c>
      <c r="E156" s="40">
        <v>32.0</v>
      </c>
    </row>
    <row r="157" ht="15.75" customHeight="1">
      <c r="A157" s="52">
        <v>3040.0</v>
      </c>
      <c r="B157" s="44" t="s">
        <v>89</v>
      </c>
      <c r="C157" s="68">
        <v>60000.0</v>
      </c>
      <c r="D157" s="22"/>
      <c r="E157" s="72">
        <f t="shared" ref="E157:E158" si="24">E156+1</f>
        <v>33</v>
      </c>
    </row>
    <row r="158" ht="15.75" customHeight="1">
      <c r="A158" s="69">
        <v>4995.0</v>
      </c>
      <c r="B158" s="71" t="s">
        <v>90</v>
      </c>
      <c r="C158" s="39"/>
      <c r="D158" s="29">
        <v>50000.0</v>
      </c>
      <c r="E158" s="25">
        <f t="shared" si="24"/>
        <v>34</v>
      </c>
    </row>
    <row r="159" ht="15.75" customHeight="1">
      <c r="A159" s="52">
        <v>5420.0</v>
      </c>
      <c r="B159" s="44" t="s">
        <v>72</v>
      </c>
      <c r="C159" s="39"/>
      <c r="D159" s="22">
        <f>440*12</f>
        <v>5280</v>
      </c>
      <c r="E159" s="25">
        <v>35.0</v>
      </c>
    </row>
    <row r="160" ht="15.75" customHeight="1">
      <c r="A160" s="66"/>
      <c r="B160" s="30" t="s">
        <v>19</v>
      </c>
      <c r="C160" s="31">
        <f t="shared" ref="C160:D160" si="25">SUM(C154:C159)</f>
        <v>60000</v>
      </c>
      <c r="D160" s="32">
        <f t="shared" si="25"/>
        <v>55280</v>
      </c>
      <c r="E160" s="25"/>
    </row>
    <row r="161" ht="15.75" customHeight="1">
      <c r="A161" s="33"/>
      <c r="B161" s="30" t="s">
        <v>20</v>
      </c>
      <c r="C161" s="39"/>
      <c r="D161" s="32">
        <f>C160-D160</f>
        <v>4720</v>
      </c>
      <c r="E161" s="40"/>
    </row>
    <row r="162" ht="15.75" customHeight="1">
      <c r="A162" s="34">
        <v>112303.0</v>
      </c>
      <c r="B162" s="18" t="s">
        <v>91</v>
      </c>
      <c r="C162" s="35"/>
      <c r="D162" s="36"/>
      <c r="E162" s="37"/>
    </row>
    <row r="163" ht="15.75" customHeight="1">
      <c r="A163" s="66">
        <v>4076.0</v>
      </c>
      <c r="B163" s="20" t="s">
        <v>29</v>
      </c>
      <c r="C163" s="39"/>
      <c r="D163" s="22">
        <f>4*10000</f>
        <v>40000</v>
      </c>
      <c r="E163" s="40">
        <v>36.0</v>
      </c>
    </row>
    <row r="164" ht="15.75" customHeight="1">
      <c r="A164" s="66">
        <v>5810.0</v>
      </c>
      <c r="B164" s="20" t="s">
        <v>34</v>
      </c>
      <c r="C164" s="39"/>
      <c r="D164" s="29">
        <v>7500.0</v>
      </c>
      <c r="E164" s="40">
        <f>E163+1</f>
        <v>37</v>
      </c>
    </row>
    <row r="165" ht="15.75" customHeight="1">
      <c r="A165" s="66"/>
      <c r="B165" s="30" t="s">
        <v>19</v>
      </c>
      <c r="C165" s="31">
        <f t="shared" ref="C165:D165" si="26">SUM(C163:C164)</f>
        <v>0</v>
      </c>
      <c r="D165" s="32">
        <f t="shared" si="26"/>
        <v>47500</v>
      </c>
      <c r="E165" s="25"/>
    </row>
    <row r="166" ht="15.75" customHeight="1">
      <c r="A166" s="33"/>
      <c r="B166" s="30" t="s">
        <v>20</v>
      </c>
      <c r="C166" s="39"/>
      <c r="D166" s="32">
        <f>C165-D165</f>
        <v>-47500</v>
      </c>
      <c r="E166" s="40"/>
    </row>
    <row r="167" ht="15.75" customHeight="1">
      <c r="A167" s="73">
        <v>112304.0</v>
      </c>
      <c r="B167" s="74" t="s">
        <v>92</v>
      </c>
      <c r="C167" s="35"/>
      <c r="D167" s="36"/>
      <c r="E167" s="37"/>
    </row>
    <row r="168" ht="15.75" customHeight="1">
      <c r="A168" s="66">
        <v>4076.0</v>
      </c>
      <c r="B168" s="20" t="s">
        <v>29</v>
      </c>
      <c r="C168" s="39"/>
      <c r="D168" s="22">
        <v>17500.0</v>
      </c>
      <c r="E168" s="25">
        <f>E164+1</f>
        <v>38</v>
      </c>
    </row>
    <row r="169" ht="15.75" customHeight="1">
      <c r="A169" s="66">
        <v>4076.0</v>
      </c>
      <c r="B169" s="20" t="s">
        <v>29</v>
      </c>
      <c r="C169" s="39"/>
      <c r="D169" s="22">
        <v>17500.0</v>
      </c>
      <c r="E169" s="25">
        <f t="shared" ref="E169:E170" si="27">E168+1</f>
        <v>39</v>
      </c>
    </row>
    <row r="170" ht="15.75" customHeight="1">
      <c r="A170" s="66">
        <v>5010.0</v>
      </c>
      <c r="B170" s="20" t="s">
        <v>61</v>
      </c>
      <c r="C170" s="39"/>
      <c r="D170" s="22">
        <v>0.0</v>
      </c>
      <c r="E170" s="25">
        <f t="shared" si="27"/>
        <v>40</v>
      </c>
    </row>
    <row r="171" ht="15.75" customHeight="1">
      <c r="A171" s="66"/>
      <c r="B171" s="30" t="s">
        <v>19</v>
      </c>
      <c r="C171" s="31">
        <f t="shared" ref="C171:D171" si="28">SUM(C168:C170)</f>
        <v>0</v>
      </c>
      <c r="D171" s="32">
        <f t="shared" si="28"/>
        <v>35000</v>
      </c>
      <c r="E171" s="25"/>
    </row>
    <row r="172" ht="15.75" customHeight="1">
      <c r="A172" s="33"/>
      <c r="B172" s="30" t="s">
        <v>20</v>
      </c>
      <c r="C172" s="39"/>
      <c r="D172" s="32">
        <f>C171-D171</f>
        <v>-35000</v>
      </c>
      <c r="E172" s="40"/>
    </row>
    <row r="173" ht="15.75" customHeight="1">
      <c r="A173" s="34">
        <v>112305.0</v>
      </c>
      <c r="B173" s="18" t="s">
        <v>93</v>
      </c>
      <c r="C173" s="35"/>
      <c r="D173" s="36"/>
      <c r="E173" s="37"/>
    </row>
    <row r="174" ht="15.75" hidden="1" customHeight="1">
      <c r="A174" s="66">
        <v>4047.0</v>
      </c>
      <c r="B174" s="20" t="s">
        <v>14</v>
      </c>
      <c r="C174" s="39"/>
      <c r="D174" s="22">
        <v>0.0</v>
      </c>
      <c r="E174" s="25">
        <f>E170+1</f>
        <v>41</v>
      </c>
    </row>
    <row r="175" ht="15.75" hidden="1" customHeight="1">
      <c r="A175" s="66">
        <v>4076.0</v>
      </c>
      <c r="B175" s="20" t="s">
        <v>29</v>
      </c>
      <c r="C175" s="39"/>
      <c r="D175" s="22">
        <v>0.0</v>
      </c>
      <c r="E175" s="25">
        <f t="shared" ref="E175:E176" si="29">E174+1</f>
        <v>42</v>
      </c>
    </row>
    <row r="176" ht="15.75" hidden="1" customHeight="1">
      <c r="A176" s="66">
        <v>4063.0</v>
      </c>
      <c r="B176" s="20" t="s">
        <v>70</v>
      </c>
      <c r="C176" s="39"/>
      <c r="D176" s="22">
        <v>0.0</v>
      </c>
      <c r="E176" s="25">
        <f t="shared" si="29"/>
        <v>43</v>
      </c>
    </row>
    <row r="177" ht="15.75" hidden="1" customHeight="1">
      <c r="A177" s="66"/>
      <c r="B177" s="30" t="s">
        <v>19</v>
      </c>
      <c r="C177" s="31">
        <f t="shared" ref="C177:D177" si="30">SUM(C174:C176)</f>
        <v>0</v>
      </c>
      <c r="D177" s="32">
        <f t="shared" si="30"/>
        <v>0</v>
      </c>
      <c r="E177" s="25"/>
    </row>
    <row r="178" ht="15.75" hidden="1" customHeight="1">
      <c r="A178" s="33"/>
      <c r="B178" s="30" t="s">
        <v>20</v>
      </c>
      <c r="C178" s="39"/>
      <c r="D178" s="32">
        <f>C177-D177</f>
        <v>0</v>
      </c>
      <c r="E178" s="40"/>
    </row>
    <row r="179" ht="15.75" customHeight="1">
      <c r="A179" s="34">
        <v>112306.0</v>
      </c>
      <c r="B179" s="67" t="s">
        <v>94</v>
      </c>
      <c r="C179" s="35"/>
      <c r="D179" s="36"/>
      <c r="E179" s="37"/>
    </row>
    <row r="180" ht="15.75" customHeight="1">
      <c r="A180" s="19">
        <v>4047.0</v>
      </c>
      <c r="B180" s="20" t="s">
        <v>14</v>
      </c>
      <c r="C180" s="39"/>
      <c r="D180" s="22">
        <v>0.0</v>
      </c>
      <c r="E180" s="40">
        <f>E176+1</f>
        <v>44</v>
      </c>
    </row>
    <row r="181" ht="15.75" customHeight="1">
      <c r="A181" s="19">
        <v>4050.0</v>
      </c>
      <c r="B181" s="20" t="s">
        <v>42</v>
      </c>
      <c r="C181" s="39"/>
      <c r="D181" s="22">
        <f>(D186+D206)*0.3</f>
        <v>540</v>
      </c>
      <c r="E181" s="40">
        <f t="shared" ref="E181:E186" si="31">E180+1</f>
        <v>45</v>
      </c>
    </row>
    <row r="182" ht="15.75" customHeight="1">
      <c r="A182" s="19">
        <v>4060.0</v>
      </c>
      <c r="B182" s="20" t="s">
        <v>27</v>
      </c>
      <c r="C182" s="39"/>
      <c r="D182" s="22">
        <f>2*200+550+80</f>
        <v>1030</v>
      </c>
      <c r="E182" s="40">
        <f t="shared" si="31"/>
        <v>46</v>
      </c>
    </row>
    <row r="183" ht="15.75" customHeight="1">
      <c r="A183" s="19">
        <v>4080.0</v>
      </c>
      <c r="B183" s="20" t="s">
        <v>31</v>
      </c>
      <c r="C183" s="39"/>
      <c r="D183" s="22">
        <v>4000.0</v>
      </c>
      <c r="E183" s="40">
        <f t="shared" si="31"/>
        <v>47</v>
      </c>
    </row>
    <row r="184" ht="15.75" customHeight="1">
      <c r="A184" s="19">
        <v>4081.0</v>
      </c>
      <c r="B184" s="20" t="s">
        <v>44</v>
      </c>
      <c r="C184" s="39"/>
      <c r="D184" s="22">
        <v>4000.0</v>
      </c>
      <c r="E184" s="40">
        <f t="shared" si="31"/>
        <v>48</v>
      </c>
    </row>
    <row r="185" ht="15.75" customHeight="1">
      <c r="A185" s="19">
        <v>4082.0</v>
      </c>
      <c r="B185" s="20" t="s">
        <v>45</v>
      </c>
      <c r="C185" s="39"/>
      <c r="D185" s="22">
        <f>400+2*200</f>
        <v>800</v>
      </c>
      <c r="E185" s="40">
        <f t="shared" si="31"/>
        <v>49</v>
      </c>
    </row>
    <row r="186" ht="15.75" customHeight="1">
      <c r="A186" s="19">
        <v>4190.0</v>
      </c>
      <c r="B186" s="20" t="s">
        <v>32</v>
      </c>
      <c r="C186" s="39"/>
      <c r="D186" s="22">
        <f>1000+2*400</f>
        <v>1800</v>
      </c>
      <c r="E186" s="40">
        <f t="shared" si="31"/>
        <v>50</v>
      </c>
    </row>
    <row r="187" ht="15.75" customHeight="1">
      <c r="A187" s="66"/>
      <c r="B187" s="30" t="s">
        <v>19</v>
      </c>
      <c r="C187" s="31">
        <f t="shared" ref="C187:D187" si="32">SUM(C180:C186)</f>
        <v>0</v>
      </c>
      <c r="D187" s="32">
        <f t="shared" si="32"/>
        <v>12170</v>
      </c>
      <c r="E187" s="25"/>
    </row>
    <row r="188" ht="15.75" customHeight="1">
      <c r="A188" s="33"/>
      <c r="B188" s="30" t="s">
        <v>20</v>
      </c>
      <c r="C188" s="39"/>
      <c r="D188" s="32">
        <f>C187-D187</f>
        <v>-12170</v>
      </c>
      <c r="E188" s="40"/>
    </row>
    <row r="189" ht="15.75" customHeight="1">
      <c r="A189" s="73">
        <v>112307.0</v>
      </c>
      <c r="B189" s="74" t="s">
        <v>95</v>
      </c>
      <c r="C189" s="35"/>
      <c r="D189" s="36"/>
      <c r="E189" s="37"/>
    </row>
    <row r="190" ht="15.75" customHeight="1">
      <c r="A190" s="19">
        <v>4047.0</v>
      </c>
      <c r="B190" s="20" t="s">
        <v>14</v>
      </c>
      <c r="C190" s="39"/>
      <c r="D190" s="22">
        <v>1000.0</v>
      </c>
      <c r="E190" s="25">
        <f>E186+1</f>
        <v>51</v>
      </c>
    </row>
    <row r="191" ht="15.75" customHeight="1">
      <c r="A191" s="19">
        <v>4076.0</v>
      </c>
      <c r="B191" s="20" t="s">
        <v>29</v>
      </c>
      <c r="C191" s="39"/>
      <c r="D191" s="22">
        <v>15000.0</v>
      </c>
      <c r="E191" s="25">
        <f>E190+1</f>
        <v>52</v>
      </c>
    </row>
    <row r="192" ht="15.75" customHeight="1">
      <c r="A192" s="66"/>
      <c r="B192" s="30" t="s">
        <v>19</v>
      </c>
      <c r="C192" s="31">
        <f t="shared" ref="C192:D192" si="33">SUM(C190:C191)</f>
        <v>0</v>
      </c>
      <c r="D192" s="32">
        <f t="shared" si="33"/>
        <v>16000</v>
      </c>
      <c r="E192" s="25"/>
    </row>
    <row r="193" ht="15.75" customHeight="1">
      <c r="A193" s="33"/>
      <c r="B193" s="30" t="s">
        <v>20</v>
      </c>
      <c r="C193" s="39"/>
      <c r="D193" s="32">
        <f>C192-D192</f>
        <v>-16000</v>
      </c>
      <c r="E193" s="40"/>
    </row>
    <row r="194" ht="15.75" customHeight="1">
      <c r="A194" s="34">
        <v>112308.0</v>
      </c>
      <c r="B194" s="67" t="s">
        <v>96</v>
      </c>
      <c r="C194" s="35"/>
      <c r="D194" s="36"/>
      <c r="E194" s="37"/>
    </row>
    <row r="195" ht="15.75" hidden="1" customHeight="1">
      <c r="A195" s="19">
        <v>4060.0</v>
      </c>
      <c r="B195" s="20" t="s">
        <v>27</v>
      </c>
      <c r="C195" s="39"/>
      <c r="D195" s="22">
        <v>0.0</v>
      </c>
      <c r="E195" s="37"/>
    </row>
    <row r="196" ht="15.75" hidden="1" customHeight="1">
      <c r="A196" s="19">
        <v>4190.0</v>
      </c>
      <c r="B196" s="20" t="s">
        <v>32</v>
      </c>
      <c r="C196" s="39"/>
      <c r="D196" s="22">
        <v>0.0</v>
      </c>
      <c r="E196" s="37"/>
    </row>
    <row r="197" ht="15.75" hidden="1" customHeight="1">
      <c r="A197" s="19">
        <v>5810.0</v>
      </c>
      <c r="B197" s="20" t="s">
        <v>34</v>
      </c>
      <c r="C197" s="39"/>
      <c r="D197" s="22">
        <v>0.0</v>
      </c>
      <c r="E197" s="37"/>
    </row>
    <row r="198" ht="15.75" hidden="1" customHeight="1">
      <c r="A198" s="19">
        <v>4010.0</v>
      </c>
      <c r="B198" s="20" t="s">
        <v>48</v>
      </c>
      <c r="C198" s="39"/>
      <c r="D198" s="22">
        <v>0.0</v>
      </c>
      <c r="E198" s="37"/>
    </row>
    <row r="199" ht="15.75" hidden="1" customHeight="1">
      <c r="A199" s="19">
        <v>4063.0</v>
      </c>
      <c r="B199" s="20" t="s">
        <v>70</v>
      </c>
      <c r="C199" s="39"/>
      <c r="D199" s="22">
        <v>0.0</v>
      </c>
      <c r="E199" s="37"/>
    </row>
    <row r="200" ht="15.75" hidden="1" customHeight="1">
      <c r="A200" s="19"/>
      <c r="B200" s="30" t="s">
        <v>19</v>
      </c>
      <c r="C200" s="31">
        <f t="shared" ref="C200:D200" si="34">SUM(C195:C199)</f>
        <v>0</v>
      </c>
      <c r="D200" s="32">
        <f t="shared" si="34"/>
        <v>0</v>
      </c>
      <c r="E200" s="37"/>
    </row>
    <row r="201" ht="15.75" hidden="1" customHeight="1">
      <c r="A201" s="33"/>
      <c r="B201" s="30" t="s">
        <v>20</v>
      </c>
      <c r="C201" s="39"/>
      <c r="D201" s="32">
        <f>C200-D200</f>
        <v>0</v>
      </c>
      <c r="E201" s="37"/>
    </row>
    <row r="202" ht="15.75" customHeight="1">
      <c r="A202" s="34">
        <v>112309.0</v>
      </c>
      <c r="B202" s="67" t="s">
        <v>97</v>
      </c>
      <c r="C202" s="75"/>
      <c r="D202" s="76"/>
      <c r="E202" s="37"/>
    </row>
    <row r="203" ht="15.75" hidden="1" customHeight="1">
      <c r="A203" s="19">
        <v>4013.0</v>
      </c>
      <c r="B203" s="20" t="s">
        <v>98</v>
      </c>
      <c r="C203" s="39"/>
      <c r="D203" s="22">
        <v>0.0</v>
      </c>
      <c r="E203" s="25">
        <f>E191+1</f>
        <v>53</v>
      </c>
    </row>
    <row r="204" ht="15.75" hidden="1" customHeight="1">
      <c r="A204" s="19">
        <v>4060.0</v>
      </c>
      <c r="B204" s="20" t="s">
        <v>27</v>
      </c>
      <c r="C204" s="39"/>
      <c r="D204" s="22">
        <v>0.0</v>
      </c>
      <c r="E204" s="25">
        <f t="shared" ref="E204:E206" si="35">E203+1</f>
        <v>54</v>
      </c>
    </row>
    <row r="205" ht="15.75" hidden="1" customHeight="1">
      <c r="A205" s="19">
        <v>4082.0</v>
      </c>
      <c r="B205" s="20" t="s">
        <v>45</v>
      </c>
      <c r="C205" s="39"/>
      <c r="D205" s="22">
        <v>0.0</v>
      </c>
      <c r="E205" s="25">
        <f t="shared" si="35"/>
        <v>55</v>
      </c>
    </row>
    <row r="206" ht="15.75" hidden="1" customHeight="1">
      <c r="A206" s="19">
        <v>4190.0</v>
      </c>
      <c r="B206" s="20" t="s">
        <v>32</v>
      </c>
      <c r="C206" s="39"/>
      <c r="D206" s="22">
        <v>0.0</v>
      </c>
      <c r="E206" s="25">
        <f t="shared" si="35"/>
        <v>56</v>
      </c>
    </row>
    <row r="207" ht="15.75" customHeight="1">
      <c r="A207" s="19">
        <v>3321.0</v>
      </c>
      <c r="B207" s="44" t="s">
        <v>99</v>
      </c>
      <c r="C207" s="68">
        <v>0.0</v>
      </c>
      <c r="D207" s="22"/>
      <c r="E207" s="25">
        <f>E191+1</f>
        <v>53</v>
      </c>
    </row>
    <row r="208" ht="15.75" customHeight="1">
      <c r="A208" s="19">
        <v>3322.0</v>
      </c>
      <c r="B208" s="44" t="s">
        <v>100</v>
      </c>
      <c r="C208" s="68">
        <v>0.0</v>
      </c>
      <c r="D208" s="22"/>
      <c r="E208" s="25">
        <f t="shared" ref="E208:E219" si="36">E207+1</f>
        <v>54</v>
      </c>
    </row>
    <row r="209" ht="15.75" customHeight="1">
      <c r="A209" s="19">
        <v>3323.0</v>
      </c>
      <c r="B209" s="44" t="s">
        <v>101</v>
      </c>
      <c r="C209" s="39">
        <v>0.0</v>
      </c>
      <c r="D209" s="22"/>
      <c r="E209" s="25">
        <f t="shared" si="36"/>
        <v>55</v>
      </c>
    </row>
    <row r="210" ht="15.75" customHeight="1">
      <c r="A210" s="19">
        <v>5020.0</v>
      </c>
      <c r="B210" s="44" t="s">
        <v>102</v>
      </c>
      <c r="C210" s="39"/>
      <c r="D210" s="22">
        <v>25000.0</v>
      </c>
      <c r="E210" s="25">
        <f t="shared" si="36"/>
        <v>56</v>
      </c>
    </row>
    <row r="211" ht="15.75" customHeight="1">
      <c r="A211" s="19">
        <v>5050.0</v>
      </c>
      <c r="B211" s="44" t="s">
        <v>33</v>
      </c>
      <c r="C211" s="39"/>
      <c r="D211" s="29">
        <v>0.0</v>
      </c>
      <c r="E211" s="25">
        <f t="shared" si="36"/>
        <v>57</v>
      </c>
    </row>
    <row r="212" ht="15.75" customHeight="1">
      <c r="A212" s="19">
        <v>5061.0</v>
      </c>
      <c r="B212" s="44" t="s">
        <v>82</v>
      </c>
      <c r="C212" s="39"/>
      <c r="D212" s="22">
        <f>5*3750</f>
        <v>18750</v>
      </c>
      <c r="E212" s="25">
        <f t="shared" si="36"/>
        <v>58</v>
      </c>
    </row>
    <row r="213" ht="15.75" customHeight="1">
      <c r="A213" s="19">
        <v>5162.0</v>
      </c>
      <c r="B213" s="20" t="s">
        <v>103</v>
      </c>
      <c r="C213" s="39"/>
      <c r="D213" s="22">
        <f>4626*5+270</f>
        <v>23400</v>
      </c>
      <c r="E213" s="25">
        <f t="shared" si="36"/>
        <v>59</v>
      </c>
    </row>
    <row r="214" ht="15.75" customHeight="1">
      <c r="A214" s="19">
        <v>5132.0</v>
      </c>
      <c r="B214" s="44" t="s">
        <v>104</v>
      </c>
      <c r="C214" s="39"/>
      <c r="D214" s="22">
        <v>0.0</v>
      </c>
      <c r="E214" s="25">
        <f t="shared" si="36"/>
        <v>60</v>
      </c>
    </row>
    <row r="215" ht="15.75" customHeight="1">
      <c r="A215" s="19">
        <v>5190.0</v>
      </c>
      <c r="B215" s="44" t="s">
        <v>105</v>
      </c>
      <c r="C215" s="39"/>
      <c r="D215" s="22">
        <f>1815*4+1000</f>
        <v>8260</v>
      </c>
      <c r="E215" s="25">
        <f t="shared" si="36"/>
        <v>61</v>
      </c>
    </row>
    <row r="216" ht="15.75" customHeight="1">
      <c r="A216" s="19">
        <v>5460.0</v>
      </c>
      <c r="B216" s="44" t="s">
        <v>50</v>
      </c>
      <c r="C216" s="39"/>
      <c r="D216" s="22">
        <v>5000.0</v>
      </c>
      <c r="E216" s="25">
        <f t="shared" si="36"/>
        <v>62</v>
      </c>
    </row>
    <row r="217" ht="15.75" customHeight="1">
      <c r="A217" s="19">
        <v>5501.0</v>
      </c>
      <c r="B217" s="44" t="s">
        <v>106</v>
      </c>
      <c r="C217" s="39"/>
      <c r="D217" s="22">
        <v>20000.0</v>
      </c>
      <c r="E217" s="25">
        <f t="shared" si="36"/>
        <v>63</v>
      </c>
    </row>
    <row r="218" ht="15.75" customHeight="1">
      <c r="A218" s="19">
        <v>5810.0</v>
      </c>
      <c r="B218" s="20" t="s">
        <v>34</v>
      </c>
      <c r="C218" s="39"/>
      <c r="D218" s="22">
        <v>4000.0</v>
      </c>
      <c r="E218" s="25">
        <f t="shared" si="36"/>
        <v>64</v>
      </c>
    </row>
    <row r="219" ht="15.75" customHeight="1">
      <c r="A219" s="52">
        <v>7830.0</v>
      </c>
      <c r="B219" s="44" t="s">
        <v>86</v>
      </c>
      <c r="C219" s="39"/>
      <c r="D219" s="22">
        <f>'VKO New Investments &amp; Depreciat'!$B$40</f>
        <v>131934.7686</v>
      </c>
      <c r="E219" s="25">
        <f t="shared" si="36"/>
        <v>65</v>
      </c>
    </row>
    <row r="220" ht="15.75" customHeight="1">
      <c r="A220" s="33"/>
      <c r="B220" s="30" t="s">
        <v>19</v>
      </c>
      <c r="C220" s="31">
        <f t="shared" ref="C220:D220" si="37">SUM(C203:C219)</f>
        <v>0</v>
      </c>
      <c r="D220" s="32">
        <f t="shared" si="37"/>
        <v>236344.7686</v>
      </c>
      <c r="E220" s="25"/>
    </row>
    <row r="221" ht="15.75" customHeight="1">
      <c r="A221" s="33"/>
      <c r="B221" s="30" t="s">
        <v>20</v>
      </c>
      <c r="C221" s="39"/>
      <c r="D221" s="32">
        <f>C220-D220</f>
        <v>-236344.7686</v>
      </c>
      <c r="E221" s="40"/>
    </row>
    <row r="222" ht="15.75" customHeight="1">
      <c r="A222" s="34">
        <v>112310.0</v>
      </c>
      <c r="B222" s="18" t="s">
        <v>107</v>
      </c>
      <c r="C222" s="35"/>
      <c r="D222" s="36"/>
      <c r="E222" s="37"/>
    </row>
    <row r="223" ht="15.75" customHeight="1">
      <c r="A223" s="52">
        <v>7832.0</v>
      </c>
      <c r="B223" s="20" t="s">
        <v>108</v>
      </c>
      <c r="C223" s="39"/>
      <c r="D223" s="22">
        <f>'VKO New Investments &amp; Depreciat'!$B$41</f>
        <v>153186.6</v>
      </c>
      <c r="E223" s="25">
        <f>E219+1</f>
        <v>66</v>
      </c>
    </row>
    <row r="224" ht="15.75" customHeight="1">
      <c r="A224" s="52">
        <v>5461.0</v>
      </c>
      <c r="B224" s="20" t="s">
        <v>84</v>
      </c>
      <c r="C224" s="39"/>
      <c r="D224" s="22">
        <v>10000.0</v>
      </c>
      <c r="E224" s="25">
        <f t="shared" ref="E224:E225" si="38">E223+1</f>
        <v>67</v>
      </c>
    </row>
    <row r="225" ht="15.75" customHeight="1">
      <c r="A225" s="52">
        <v>5481.0</v>
      </c>
      <c r="B225" s="20" t="s">
        <v>109</v>
      </c>
      <c r="C225" s="39"/>
      <c r="D225" s="22">
        <f>700*12+700*5</f>
        <v>11900</v>
      </c>
      <c r="E225" s="25">
        <f t="shared" si="38"/>
        <v>68</v>
      </c>
    </row>
    <row r="226" ht="15.75" customHeight="1">
      <c r="A226" s="66"/>
      <c r="B226" s="30" t="s">
        <v>19</v>
      </c>
      <c r="C226" s="31">
        <f t="shared" ref="C226:D226" si="39">SUM(C223:C225)</f>
        <v>0</v>
      </c>
      <c r="D226" s="32">
        <f t="shared" si="39"/>
        <v>175086.6</v>
      </c>
      <c r="E226" s="25"/>
    </row>
    <row r="227" ht="15.75" customHeight="1">
      <c r="A227" s="66"/>
      <c r="B227" s="30" t="s">
        <v>20</v>
      </c>
      <c r="C227" s="39"/>
      <c r="D227" s="32">
        <f>C226-D226</f>
        <v>-175086.6</v>
      </c>
      <c r="E227" s="25"/>
    </row>
    <row r="228" ht="15.75" customHeight="1">
      <c r="A228" s="34">
        <v>112320.0</v>
      </c>
      <c r="B228" s="67" t="s">
        <v>110</v>
      </c>
      <c r="C228" s="75"/>
      <c r="D228" s="76"/>
      <c r="E228" s="77"/>
    </row>
    <row r="229" ht="15.75" hidden="1" customHeight="1">
      <c r="A229" s="52">
        <v>3110.0</v>
      </c>
      <c r="B229" s="44" t="s">
        <v>111</v>
      </c>
      <c r="C229" s="39">
        <v>0.0</v>
      </c>
      <c r="D229" s="22"/>
      <c r="E229" s="78"/>
    </row>
    <row r="230" ht="15.75" hidden="1" customHeight="1">
      <c r="A230" s="52">
        <v>4047.0</v>
      </c>
      <c r="B230" s="44" t="s">
        <v>14</v>
      </c>
      <c r="C230" s="39"/>
      <c r="D230" s="22">
        <v>0.0</v>
      </c>
      <c r="E230" s="78">
        <v>0.0</v>
      </c>
    </row>
    <row r="231" ht="15.75" hidden="1" customHeight="1">
      <c r="A231" s="33"/>
      <c r="B231" s="30" t="s">
        <v>19</v>
      </c>
      <c r="C231" s="31">
        <f t="shared" ref="C231:E231" si="40">SUM(C229:C230)</f>
        <v>0</v>
      </c>
      <c r="D231" s="32">
        <f t="shared" si="40"/>
        <v>0</v>
      </c>
      <c r="E231" s="79">
        <f t="shared" si="40"/>
        <v>0</v>
      </c>
    </row>
    <row r="232" ht="15.75" hidden="1" customHeight="1">
      <c r="A232" s="33"/>
      <c r="B232" s="30" t="s">
        <v>20</v>
      </c>
      <c r="C232" s="39"/>
      <c r="D232" s="32">
        <f t="shared" ref="D232:E232" si="41">C231-D231</f>
        <v>0</v>
      </c>
      <c r="E232" s="79">
        <f t="shared" si="41"/>
        <v>0</v>
      </c>
    </row>
    <row r="233" ht="15.75" customHeight="1">
      <c r="A233" s="34">
        <v>112321.0</v>
      </c>
      <c r="B233" s="67" t="s">
        <v>112</v>
      </c>
      <c r="C233" s="75"/>
      <c r="D233" s="76"/>
      <c r="E233" s="77"/>
    </row>
    <row r="234" ht="15.75" hidden="1" customHeight="1">
      <c r="A234" s="66">
        <v>3011.0</v>
      </c>
      <c r="B234" s="20" t="s">
        <v>22</v>
      </c>
      <c r="C234" s="39">
        <v>0.0</v>
      </c>
      <c r="D234" s="22"/>
      <c r="E234" s="78"/>
    </row>
    <row r="235" ht="15.75" hidden="1" customHeight="1">
      <c r="A235" s="66">
        <v>4013.0</v>
      </c>
      <c r="B235" s="20" t="s">
        <v>98</v>
      </c>
      <c r="C235" s="39"/>
      <c r="D235" s="22">
        <v>0.0</v>
      </c>
      <c r="E235" s="78">
        <v>0.0</v>
      </c>
    </row>
    <row r="236" ht="15.75" hidden="1" customHeight="1">
      <c r="A236" s="66">
        <v>4076.0</v>
      </c>
      <c r="B236" s="20" t="s">
        <v>29</v>
      </c>
      <c r="C236" s="39"/>
      <c r="D236" s="22">
        <v>0.0</v>
      </c>
      <c r="E236" s="78">
        <v>0.0</v>
      </c>
    </row>
    <row r="237" ht="15.75" hidden="1" customHeight="1">
      <c r="A237" s="66">
        <v>4078.0</v>
      </c>
      <c r="B237" s="20" t="s">
        <v>30</v>
      </c>
      <c r="C237" s="39"/>
      <c r="D237" s="22">
        <v>0.0</v>
      </c>
      <c r="E237" s="78">
        <v>0.0</v>
      </c>
    </row>
    <row r="238" ht="15.75" hidden="1" customHeight="1">
      <c r="A238" s="66">
        <v>5060.0</v>
      </c>
      <c r="B238" s="20" t="s">
        <v>113</v>
      </c>
      <c r="C238" s="39"/>
      <c r="D238" s="22">
        <v>0.0</v>
      </c>
      <c r="E238" s="78">
        <v>0.0</v>
      </c>
    </row>
    <row r="239" ht="15.75" hidden="1" customHeight="1">
      <c r="A239" s="66">
        <v>6800.0</v>
      </c>
      <c r="B239" s="20" t="s">
        <v>114</v>
      </c>
      <c r="C239" s="39"/>
      <c r="D239" s="22">
        <v>0.0</v>
      </c>
      <c r="E239" s="78">
        <v>0.0</v>
      </c>
    </row>
    <row r="240" ht="15.75" hidden="1" customHeight="1">
      <c r="A240" s="66">
        <v>6993.0</v>
      </c>
      <c r="B240" s="20" t="s">
        <v>115</v>
      </c>
      <c r="C240" s="39"/>
      <c r="D240" s="22">
        <v>0.0</v>
      </c>
      <c r="E240" s="78">
        <v>0.0</v>
      </c>
    </row>
    <row r="241" ht="15.75" hidden="1" customHeight="1">
      <c r="A241" s="66"/>
      <c r="B241" s="30" t="s">
        <v>19</v>
      </c>
      <c r="C241" s="31">
        <f t="shared" ref="C241:E241" si="42">SUM(C234:C240)</f>
        <v>0</v>
      </c>
      <c r="D241" s="32">
        <f t="shared" si="42"/>
        <v>0</v>
      </c>
      <c r="E241" s="79">
        <f t="shared" si="42"/>
        <v>0</v>
      </c>
    </row>
    <row r="242" ht="15.75" hidden="1" customHeight="1">
      <c r="A242" s="33"/>
      <c r="B242" s="80" t="s">
        <v>20</v>
      </c>
      <c r="C242" s="39"/>
      <c r="D242" s="32">
        <f t="shared" ref="D242:E242" si="43">C241-D241</f>
        <v>0</v>
      </c>
      <c r="E242" s="79">
        <f t="shared" si="43"/>
        <v>0</v>
      </c>
    </row>
    <row r="243" ht="15.75" hidden="1" customHeight="1">
      <c r="A243" s="51">
        <v>112222.0</v>
      </c>
      <c r="B243" s="67" t="s">
        <v>116</v>
      </c>
      <c r="C243" s="75"/>
      <c r="D243" s="76"/>
      <c r="E243" s="77"/>
    </row>
    <row r="244" ht="15.75" hidden="1" customHeight="1">
      <c r="A244" s="66">
        <v>3011.0</v>
      </c>
      <c r="B244" s="20" t="s">
        <v>22</v>
      </c>
      <c r="C244" s="81"/>
      <c r="D244" s="82"/>
      <c r="E244" s="81"/>
    </row>
    <row r="245" ht="15.75" hidden="1" customHeight="1">
      <c r="A245" s="66">
        <v>3030.0</v>
      </c>
      <c r="B245" s="20" t="s">
        <v>117</v>
      </c>
      <c r="C245" s="39">
        <v>0.0</v>
      </c>
      <c r="D245" s="22"/>
      <c r="E245" s="78"/>
    </row>
    <row r="246" ht="15.75" hidden="1" customHeight="1">
      <c r="A246" s="66">
        <v>4012.0</v>
      </c>
      <c r="B246" s="20" t="s">
        <v>118</v>
      </c>
      <c r="C246" s="39">
        <v>0.0</v>
      </c>
      <c r="D246" s="22"/>
      <c r="E246" s="78"/>
    </row>
    <row r="247" ht="15.75" hidden="1" customHeight="1">
      <c r="A247" s="66">
        <v>4013.0</v>
      </c>
      <c r="B247" s="20" t="s">
        <v>98</v>
      </c>
      <c r="C247" s="39"/>
      <c r="D247" s="22">
        <v>0.0</v>
      </c>
      <c r="E247" s="78">
        <v>0.0</v>
      </c>
    </row>
    <row r="248" ht="15.75" hidden="1" customHeight="1">
      <c r="A248" s="19">
        <v>4047.0</v>
      </c>
      <c r="B248" s="20" t="s">
        <v>14</v>
      </c>
      <c r="C248" s="39"/>
      <c r="D248" s="22">
        <f t="shared" ref="D248:E248" si="44">C246/1.9</f>
        <v>0</v>
      </c>
      <c r="E248" s="78">
        <f t="shared" si="44"/>
        <v>0</v>
      </c>
    </row>
    <row r="249" ht="15.75" hidden="1" customHeight="1">
      <c r="A249" s="66">
        <v>4078.0</v>
      </c>
      <c r="B249" s="20" t="s">
        <v>30</v>
      </c>
      <c r="C249" s="39"/>
      <c r="D249" s="22">
        <v>0.0</v>
      </c>
      <c r="E249" s="78">
        <v>0.0</v>
      </c>
    </row>
    <row r="250" ht="15.75" hidden="1" customHeight="1">
      <c r="A250" s="66">
        <v>6800.0</v>
      </c>
      <c r="B250" s="20" t="s">
        <v>114</v>
      </c>
      <c r="C250" s="39"/>
      <c r="D250" s="22">
        <v>0.0</v>
      </c>
      <c r="E250" s="78">
        <v>0.0</v>
      </c>
    </row>
    <row r="251" ht="15.75" hidden="1" customHeight="1">
      <c r="A251" s="19">
        <v>6993.0</v>
      </c>
      <c r="B251" s="20" t="s">
        <v>115</v>
      </c>
      <c r="C251" s="39"/>
      <c r="D251" s="22">
        <v>0.0</v>
      </c>
      <c r="E251" s="78">
        <v>0.0</v>
      </c>
    </row>
    <row r="252" ht="15.75" hidden="1" customHeight="1">
      <c r="A252" s="66"/>
      <c r="B252" s="30" t="s">
        <v>19</v>
      </c>
      <c r="C252" s="31">
        <f t="shared" ref="C252:E252" si="45">SUM(C245:C251)</f>
        <v>0</v>
      </c>
      <c r="D252" s="32">
        <f t="shared" si="45"/>
        <v>0</v>
      </c>
      <c r="E252" s="79">
        <f t="shared" si="45"/>
        <v>0</v>
      </c>
    </row>
    <row r="253" ht="15.75" hidden="1" customHeight="1">
      <c r="A253" s="33"/>
      <c r="B253" s="80" t="s">
        <v>20</v>
      </c>
      <c r="C253" s="53"/>
      <c r="D253" s="32">
        <f t="shared" ref="D253:E253" si="46">C252-D252</f>
        <v>0</v>
      </c>
      <c r="E253" s="79">
        <f t="shared" si="46"/>
        <v>0</v>
      </c>
    </row>
    <row r="254" ht="15.75" customHeight="1">
      <c r="A254" s="34">
        <v>112323.0</v>
      </c>
      <c r="B254" s="67" t="s">
        <v>119</v>
      </c>
      <c r="C254" s="75"/>
      <c r="D254" s="76"/>
      <c r="E254" s="77"/>
    </row>
    <row r="255" ht="15.75" hidden="1" customHeight="1">
      <c r="A255" s="19">
        <v>3011.0</v>
      </c>
      <c r="B255" s="20" t="s">
        <v>22</v>
      </c>
      <c r="C255" s="39">
        <v>0.0</v>
      </c>
      <c r="D255" s="22"/>
      <c r="E255" s="25"/>
    </row>
    <row r="256" ht="15.75" hidden="1" customHeight="1">
      <c r="A256" s="19">
        <v>4047.0</v>
      </c>
      <c r="B256" s="20" t="s">
        <v>14</v>
      </c>
      <c r="C256" s="39"/>
      <c r="D256" s="22">
        <v>0.0</v>
      </c>
      <c r="E256" s="25"/>
    </row>
    <row r="257" ht="15.75" hidden="1" customHeight="1">
      <c r="A257" s="19">
        <v>4013.0</v>
      </c>
      <c r="B257" s="20" t="s">
        <v>98</v>
      </c>
      <c r="C257" s="39"/>
      <c r="D257" s="22">
        <v>0.0</v>
      </c>
      <c r="E257" s="25"/>
    </row>
    <row r="258" ht="15.75" hidden="1" customHeight="1">
      <c r="A258" s="19">
        <v>4076.0</v>
      </c>
      <c r="B258" s="20" t="s">
        <v>29</v>
      </c>
      <c r="C258" s="39"/>
      <c r="D258" s="22">
        <v>0.0</v>
      </c>
      <c r="E258" s="25"/>
    </row>
    <row r="259" ht="15.75" hidden="1" customHeight="1">
      <c r="A259" s="19">
        <v>6800.0</v>
      </c>
      <c r="B259" s="20" t="s">
        <v>114</v>
      </c>
      <c r="C259" s="39"/>
      <c r="D259" s="22">
        <v>0.0</v>
      </c>
      <c r="E259" s="25"/>
    </row>
    <row r="260" ht="15.75" hidden="1" customHeight="1">
      <c r="A260" s="19">
        <v>6993.0</v>
      </c>
      <c r="B260" s="44" t="s">
        <v>115</v>
      </c>
      <c r="C260" s="39"/>
      <c r="D260" s="22">
        <v>0.0</v>
      </c>
      <c r="E260" s="25"/>
    </row>
    <row r="261" ht="15.75" hidden="1" customHeight="1">
      <c r="A261" s="19"/>
      <c r="B261" s="30" t="s">
        <v>19</v>
      </c>
      <c r="C261" s="31">
        <f>sum(C255:C260)</f>
        <v>0</v>
      </c>
      <c r="D261" s="32">
        <v>0.0</v>
      </c>
      <c r="E261" s="25"/>
    </row>
    <row r="262" ht="15.75" hidden="1" customHeight="1">
      <c r="A262" s="19"/>
      <c r="B262" s="80" t="s">
        <v>20</v>
      </c>
      <c r="C262" s="31"/>
      <c r="D262" s="32">
        <f>C261-D261</f>
        <v>0</v>
      </c>
      <c r="E262" s="25"/>
    </row>
    <row r="263" ht="15.75" hidden="1" customHeight="1">
      <c r="A263" s="83">
        <v>112224.0</v>
      </c>
      <c r="B263" s="46" t="s">
        <v>120</v>
      </c>
      <c r="C263" s="84"/>
      <c r="D263" s="85"/>
      <c r="E263" s="86"/>
    </row>
    <row r="264" ht="15.75" hidden="1" customHeight="1">
      <c r="A264" s="19">
        <v>3011.0</v>
      </c>
      <c r="B264" s="20" t="s">
        <v>22</v>
      </c>
      <c r="C264" s="39">
        <v>0.0</v>
      </c>
      <c r="D264" s="22"/>
      <c r="E264" s="25">
        <f>E225+1</f>
        <v>69</v>
      </c>
    </row>
    <row r="265" ht="15.75" hidden="1" customHeight="1">
      <c r="A265" s="19">
        <v>3030.0</v>
      </c>
      <c r="B265" s="20" t="s">
        <v>117</v>
      </c>
      <c r="C265" s="39">
        <v>0.0</v>
      </c>
      <c r="D265" s="22"/>
      <c r="E265" s="25">
        <f t="shared" ref="E265:E271" si="47">E264+1</f>
        <v>70</v>
      </c>
    </row>
    <row r="266" ht="15.75" hidden="1" customHeight="1">
      <c r="A266" s="19">
        <v>4012.0</v>
      </c>
      <c r="B266" s="20" t="s">
        <v>121</v>
      </c>
      <c r="C266" s="39"/>
      <c r="D266" s="22">
        <f>C265/1.9</f>
        <v>0</v>
      </c>
      <c r="E266" s="25">
        <f t="shared" si="47"/>
        <v>71</v>
      </c>
    </row>
    <row r="267" ht="15.75" hidden="1" customHeight="1">
      <c r="A267" s="19">
        <v>4013.0</v>
      </c>
      <c r="B267" s="20" t="s">
        <v>98</v>
      </c>
      <c r="C267" s="39"/>
      <c r="D267" s="22">
        <v>0.0</v>
      </c>
      <c r="E267" s="25">
        <f t="shared" si="47"/>
        <v>72</v>
      </c>
    </row>
    <row r="268" ht="15.75" hidden="1" customHeight="1">
      <c r="A268" s="19">
        <v>4076.0</v>
      </c>
      <c r="B268" s="20" t="s">
        <v>29</v>
      </c>
      <c r="C268" s="39"/>
      <c r="D268" s="22">
        <v>0.0</v>
      </c>
      <c r="E268" s="25">
        <f t="shared" si="47"/>
        <v>73</v>
      </c>
    </row>
    <row r="269" ht="15.75" hidden="1" customHeight="1">
      <c r="A269" s="19">
        <v>4078.0</v>
      </c>
      <c r="B269" s="20" t="s">
        <v>30</v>
      </c>
      <c r="C269" s="39"/>
      <c r="D269" s="22">
        <v>0.0</v>
      </c>
      <c r="E269" s="25">
        <f t="shared" si="47"/>
        <v>74</v>
      </c>
    </row>
    <row r="270" ht="15.75" hidden="1" customHeight="1">
      <c r="A270" s="19">
        <v>5010.0</v>
      </c>
      <c r="B270" s="20" t="s">
        <v>61</v>
      </c>
      <c r="C270" s="39"/>
      <c r="D270" s="22">
        <v>0.0</v>
      </c>
      <c r="E270" s="25">
        <f t="shared" si="47"/>
        <v>75</v>
      </c>
    </row>
    <row r="271" ht="15.75" hidden="1" customHeight="1">
      <c r="A271" s="19">
        <v>6993.0</v>
      </c>
      <c r="B271" s="20" t="s">
        <v>115</v>
      </c>
      <c r="C271" s="39"/>
      <c r="D271" s="22">
        <v>0.0</v>
      </c>
      <c r="E271" s="25">
        <f t="shared" si="47"/>
        <v>76</v>
      </c>
    </row>
    <row r="272" ht="15.75" hidden="1" customHeight="1">
      <c r="A272" s="19"/>
      <c r="B272" s="30" t="s">
        <v>19</v>
      </c>
      <c r="C272" s="31">
        <f t="shared" ref="C272:D272" si="48">SUM(C264:C271)</f>
        <v>0</v>
      </c>
      <c r="D272" s="32">
        <f t="shared" si="48"/>
        <v>0</v>
      </c>
      <c r="E272" s="25"/>
    </row>
    <row r="273" ht="15.75" hidden="1" customHeight="1">
      <c r="A273" s="33"/>
      <c r="B273" s="80" t="s">
        <v>20</v>
      </c>
      <c r="C273" s="39"/>
      <c r="D273" s="32">
        <f>C272-D272</f>
        <v>0</v>
      </c>
      <c r="E273" s="40"/>
    </row>
    <row r="274" ht="15.75" customHeight="1">
      <c r="A274" s="34">
        <v>112325.0</v>
      </c>
      <c r="B274" s="67" t="s">
        <v>122</v>
      </c>
      <c r="C274" s="87"/>
      <c r="D274" s="76"/>
      <c r="E274" s="37"/>
    </row>
    <row r="275" ht="15.75" hidden="1" customHeight="1">
      <c r="A275" s="19">
        <v>3011.0</v>
      </c>
      <c r="B275" s="20" t="s">
        <v>22</v>
      </c>
      <c r="C275" s="39">
        <v>0.0</v>
      </c>
      <c r="D275" s="22"/>
      <c r="E275" s="25">
        <f>E271+1</f>
        <v>77</v>
      </c>
    </row>
    <row r="276" ht="15.75" hidden="1" customHeight="1">
      <c r="A276" s="19">
        <v>4013.0</v>
      </c>
      <c r="B276" s="20" t="s">
        <v>98</v>
      </c>
      <c r="C276" s="39"/>
      <c r="D276" s="22">
        <v>0.0</v>
      </c>
      <c r="E276" s="25">
        <f t="shared" ref="E276:E281" si="49">E275+1</f>
        <v>78</v>
      </c>
    </row>
    <row r="277" ht="15.75" hidden="1" customHeight="1">
      <c r="A277" s="19">
        <v>4076.0</v>
      </c>
      <c r="B277" s="20" t="s">
        <v>29</v>
      </c>
      <c r="C277" s="39"/>
      <c r="D277" s="22">
        <v>0.0</v>
      </c>
      <c r="E277" s="25">
        <f t="shared" si="49"/>
        <v>79</v>
      </c>
    </row>
    <row r="278" ht="15.75" hidden="1" customHeight="1">
      <c r="A278" s="19">
        <v>4078.0</v>
      </c>
      <c r="B278" s="20" t="s">
        <v>30</v>
      </c>
      <c r="C278" s="39"/>
      <c r="D278" s="22">
        <v>0.0</v>
      </c>
      <c r="E278" s="25">
        <f t="shared" si="49"/>
        <v>80</v>
      </c>
    </row>
    <row r="279" ht="15.75" hidden="1" customHeight="1">
      <c r="A279" s="19">
        <v>5060.0</v>
      </c>
      <c r="B279" s="20" t="s">
        <v>113</v>
      </c>
      <c r="C279" s="39"/>
      <c r="D279" s="22">
        <v>0.0</v>
      </c>
      <c r="E279" s="25">
        <f t="shared" si="49"/>
        <v>81</v>
      </c>
    </row>
    <row r="280" ht="15.75" hidden="1" customHeight="1">
      <c r="A280" s="19">
        <v>6800.0</v>
      </c>
      <c r="B280" s="20" t="s">
        <v>114</v>
      </c>
      <c r="C280" s="39"/>
      <c r="D280" s="22">
        <v>0.0</v>
      </c>
      <c r="E280" s="25">
        <f t="shared" si="49"/>
        <v>82</v>
      </c>
    </row>
    <row r="281" ht="15.75" hidden="1" customHeight="1">
      <c r="A281" s="19">
        <v>6993.0</v>
      </c>
      <c r="B281" s="20" t="s">
        <v>115</v>
      </c>
      <c r="C281" s="39"/>
      <c r="D281" s="22">
        <v>0.0</v>
      </c>
      <c r="E281" s="25">
        <f t="shared" si="49"/>
        <v>83</v>
      </c>
    </row>
    <row r="282" ht="15.75" hidden="1" customHeight="1">
      <c r="A282" s="19"/>
      <c r="B282" s="30" t="s">
        <v>19</v>
      </c>
      <c r="C282" s="31">
        <f t="shared" ref="C282:D282" si="50">SUM(C275:C281)</f>
        <v>0</v>
      </c>
      <c r="D282" s="32">
        <f t="shared" si="50"/>
        <v>0</v>
      </c>
      <c r="E282" s="25"/>
    </row>
    <row r="283" ht="15.75" hidden="1" customHeight="1">
      <c r="A283" s="33"/>
      <c r="B283" s="80" t="s">
        <v>20</v>
      </c>
      <c r="C283" s="39"/>
      <c r="D283" s="32">
        <f>C282-D282</f>
        <v>0</v>
      </c>
      <c r="E283" s="40"/>
    </row>
    <row r="284" ht="15.75" customHeight="1">
      <c r="A284" s="34">
        <v>112326.0</v>
      </c>
      <c r="B284" s="67" t="s">
        <v>123</v>
      </c>
      <c r="C284" s="88"/>
      <c r="D284" s="76"/>
      <c r="E284" s="37"/>
    </row>
    <row r="285" ht="15.75" hidden="1" customHeight="1">
      <c r="A285" s="19">
        <v>3011.0</v>
      </c>
      <c r="B285" s="20" t="s">
        <v>22</v>
      </c>
      <c r="C285" s="39">
        <v>0.0</v>
      </c>
      <c r="D285" s="22"/>
      <c r="E285" s="25">
        <f>E281+1</f>
        <v>84</v>
      </c>
    </row>
    <row r="286" ht="15.75" hidden="1" customHeight="1">
      <c r="A286" s="19">
        <v>3030.0</v>
      </c>
      <c r="B286" s="20" t="s">
        <v>117</v>
      </c>
      <c r="C286" s="39">
        <v>0.0</v>
      </c>
      <c r="D286" s="22"/>
      <c r="E286" s="25">
        <f t="shared" ref="E286:E291" si="51">E285+1</f>
        <v>85</v>
      </c>
    </row>
    <row r="287" ht="15.75" hidden="1" customHeight="1">
      <c r="A287" s="19">
        <v>4010.0</v>
      </c>
      <c r="B287" s="20" t="s">
        <v>48</v>
      </c>
      <c r="C287" s="39"/>
      <c r="D287" s="22">
        <v>0.0</v>
      </c>
      <c r="E287" s="25">
        <f t="shared" si="51"/>
        <v>86</v>
      </c>
    </row>
    <row r="288" ht="15.75" hidden="1" customHeight="1">
      <c r="A288" s="19">
        <v>4012.0</v>
      </c>
      <c r="B288" s="20" t="s">
        <v>118</v>
      </c>
      <c r="C288" s="39"/>
      <c r="D288" s="22">
        <v>0.0</v>
      </c>
      <c r="E288" s="25">
        <f t="shared" si="51"/>
        <v>87</v>
      </c>
    </row>
    <row r="289" ht="15.75" hidden="1" customHeight="1">
      <c r="A289" s="19">
        <v>4013.0</v>
      </c>
      <c r="B289" s="20" t="s">
        <v>98</v>
      </c>
      <c r="C289" s="39"/>
      <c r="D289" s="22">
        <v>0.0</v>
      </c>
      <c r="E289" s="25">
        <f t="shared" si="51"/>
        <v>88</v>
      </c>
    </row>
    <row r="290" ht="15.75" hidden="1" customHeight="1">
      <c r="A290" s="19">
        <v>6800.0</v>
      </c>
      <c r="B290" s="20" t="s">
        <v>114</v>
      </c>
      <c r="C290" s="39"/>
      <c r="D290" s="22">
        <v>0.0</v>
      </c>
      <c r="E290" s="25">
        <f t="shared" si="51"/>
        <v>89</v>
      </c>
    </row>
    <row r="291" ht="15.75" hidden="1" customHeight="1">
      <c r="A291" s="19">
        <v>6993.0</v>
      </c>
      <c r="B291" s="20" t="s">
        <v>124</v>
      </c>
      <c r="C291" s="39"/>
      <c r="D291" s="22">
        <v>0.0</v>
      </c>
      <c r="E291" s="25">
        <f t="shared" si="51"/>
        <v>90</v>
      </c>
    </row>
    <row r="292" ht="15.75" hidden="1" customHeight="1">
      <c r="A292" s="19"/>
      <c r="B292" s="30" t="s">
        <v>19</v>
      </c>
      <c r="C292" s="31">
        <f t="shared" ref="C292:D292" si="52">SUM(C285:C291)</f>
        <v>0</v>
      </c>
      <c r="D292" s="32">
        <f t="shared" si="52"/>
        <v>0</v>
      </c>
      <c r="E292" s="25"/>
    </row>
    <row r="293" ht="15.75" hidden="1" customHeight="1">
      <c r="A293" s="33"/>
      <c r="B293" s="80" t="s">
        <v>20</v>
      </c>
      <c r="C293" s="53"/>
      <c r="D293" s="32">
        <f>C292-D292</f>
        <v>0</v>
      </c>
      <c r="E293" s="40"/>
    </row>
    <row r="294" ht="15.75" hidden="1" customHeight="1">
      <c r="A294" s="89"/>
      <c r="B294" s="90" t="s">
        <v>125</v>
      </c>
      <c r="C294" s="91">
        <f t="shared" ref="C294:D294" si="53">C272+C282+C292</f>
        <v>0</v>
      </c>
      <c r="D294" s="92">
        <f t="shared" si="53"/>
        <v>0</v>
      </c>
      <c r="E294" s="93"/>
    </row>
    <row r="295" ht="15.75" hidden="1" customHeight="1">
      <c r="A295" s="89"/>
      <c r="B295" s="90" t="s">
        <v>126</v>
      </c>
      <c r="C295" s="91"/>
      <c r="D295" s="92">
        <f>C294-D294</f>
        <v>0</v>
      </c>
      <c r="E295" s="93"/>
    </row>
    <row r="296" ht="15.75" customHeight="1">
      <c r="A296" s="49"/>
      <c r="B296" s="18" t="s">
        <v>127</v>
      </c>
      <c r="C296" s="12">
        <f>C231+C220+C200+C192+C187+C177+C171+C165+C160+C226+C151+C133+C241+C2696+C261+C252+C272+C282+C292</f>
        <v>125000</v>
      </c>
      <c r="D296" s="13">
        <f>D231+D220+D200+D192+D187+D177+D171+D165+D160+D226+D151+D133+D241+D252+D261+D272+D282+D292</f>
        <v>1863745.435</v>
      </c>
      <c r="E296" s="37"/>
    </row>
    <row r="297" ht="15.75" customHeight="1">
      <c r="A297" s="49"/>
      <c r="B297" s="18" t="s">
        <v>128</v>
      </c>
      <c r="C297" s="35"/>
      <c r="D297" s="13">
        <f>C296-D296</f>
        <v>-1738745.435</v>
      </c>
      <c r="E297" s="37"/>
    </row>
    <row r="298" ht="15.75" customHeight="1">
      <c r="A298" s="66"/>
      <c r="B298" s="70"/>
      <c r="C298" s="64"/>
      <c r="D298" s="65"/>
      <c r="E298" s="25"/>
    </row>
    <row r="299" ht="15.75" customHeight="1">
      <c r="A299" s="66"/>
      <c r="B299" s="70"/>
      <c r="C299" s="64"/>
      <c r="D299" s="65"/>
      <c r="E299" s="25"/>
    </row>
    <row r="300" ht="15.75" customHeight="1">
      <c r="A300" s="94"/>
      <c r="B300" s="95" t="s">
        <v>129</v>
      </c>
      <c r="C300" s="16" t="s">
        <v>6</v>
      </c>
      <c r="D300" s="5"/>
      <c r="E300" s="9"/>
    </row>
    <row r="301" ht="15.75" customHeight="1">
      <c r="A301" s="34">
        <v>122300.0</v>
      </c>
      <c r="B301" s="67" t="s">
        <v>130</v>
      </c>
      <c r="C301" s="12" t="s">
        <v>2</v>
      </c>
      <c r="D301" s="13" t="s">
        <v>3</v>
      </c>
      <c r="E301" s="14" t="s">
        <v>4</v>
      </c>
    </row>
    <row r="302" ht="15.75" customHeight="1">
      <c r="A302" s="52">
        <v>4047.0</v>
      </c>
      <c r="B302" s="44" t="s">
        <v>14</v>
      </c>
      <c r="C302" s="39"/>
      <c r="D302" s="29">
        <v>0.0</v>
      </c>
      <c r="E302" s="25">
        <v>1.0</v>
      </c>
    </row>
    <row r="303" ht="15.75" customHeight="1">
      <c r="A303" s="52">
        <v>4050.0</v>
      </c>
      <c r="B303" s="44" t="s">
        <v>42</v>
      </c>
      <c r="C303" s="39"/>
      <c r="D303" s="22">
        <f>D310*0.3</f>
        <v>480</v>
      </c>
      <c r="E303" s="25">
        <f t="shared" ref="E303:E311" si="54">E302+1</f>
        <v>2</v>
      </c>
    </row>
    <row r="304" ht="15.75" customHeight="1">
      <c r="A304" s="52">
        <v>4060.0</v>
      </c>
      <c r="B304" s="44" t="s">
        <v>27</v>
      </c>
      <c r="C304" s="39"/>
      <c r="D304" s="22">
        <f>2*550+2*80</f>
        <v>1260</v>
      </c>
      <c r="E304" s="25">
        <f t="shared" si="54"/>
        <v>3</v>
      </c>
    </row>
    <row r="305" ht="15.75" customHeight="1">
      <c r="A305" s="52">
        <v>4065.0</v>
      </c>
      <c r="B305" s="44" t="s">
        <v>16</v>
      </c>
      <c r="C305" s="39"/>
      <c r="D305" s="22">
        <v>13000.0</v>
      </c>
      <c r="E305" s="25">
        <f t="shared" si="54"/>
        <v>4</v>
      </c>
    </row>
    <row r="306" ht="15.75" customHeight="1">
      <c r="A306" s="52">
        <v>4075.0</v>
      </c>
      <c r="B306" s="44" t="s">
        <v>43</v>
      </c>
      <c r="C306" s="39"/>
      <c r="D306" s="22">
        <v>0.0</v>
      </c>
      <c r="E306" s="25">
        <f t="shared" si="54"/>
        <v>5</v>
      </c>
    </row>
    <row r="307" ht="15.75" customHeight="1">
      <c r="A307" s="52">
        <v>4080.0</v>
      </c>
      <c r="B307" s="44" t="s">
        <v>31</v>
      </c>
      <c r="C307" s="39"/>
      <c r="D307" s="22">
        <v>4000.0</v>
      </c>
      <c r="E307" s="25">
        <f t="shared" si="54"/>
        <v>6</v>
      </c>
    </row>
    <row r="308" ht="15.75" customHeight="1">
      <c r="A308" s="52">
        <v>4081.0</v>
      </c>
      <c r="B308" s="44" t="s">
        <v>44</v>
      </c>
      <c r="C308" s="39"/>
      <c r="D308" s="22">
        <f>4000+1000</f>
        <v>5000</v>
      </c>
      <c r="E308" s="25">
        <f t="shared" si="54"/>
        <v>7</v>
      </c>
    </row>
    <row r="309" ht="15.75" customHeight="1">
      <c r="A309" s="52">
        <v>4082.0</v>
      </c>
      <c r="B309" s="44" t="s">
        <v>45</v>
      </c>
      <c r="C309" s="39"/>
      <c r="D309" s="22">
        <f>1*400+1*200</f>
        <v>600</v>
      </c>
      <c r="E309" s="25">
        <f t="shared" si="54"/>
        <v>8</v>
      </c>
    </row>
    <row r="310" ht="15.75" customHeight="1">
      <c r="A310" s="52">
        <v>4190.0</v>
      </c>
      <c r="B310" s="44" t="s">
        <v>32</v>
      </c>
      <c r="C310" s="39"/>
      <c r="D310" s="22">
        <f>1000+1*600</f>
        <v>1600</v>
      </c>
      <c r="E310" s="25">
        <f t="shared" si="54"/>
        <v>9</v>
      </c>
    </row>
    <row r="311" ht="15.75" hidden="1" customHeight="1">
      <c r="A311" s="52">
        <v>5050.0</v>
      </c>
      <c r="B311" s="96" t="s">
        <v>33</v>
      </c>
      <c r="C311" s="39"/>
      <c r="D311" s="22">
        <v>0.0</v>
      </c>
      <c r="E311" s="25">
        <f t="shared" si="54"/>
        <v>10</v>
      </c>
    </row>
    <row r="312" ht="15.75" hidden="1" customHeight="1">
      <c r="A312" s="52">
        <v>6211.0</v>
      </c>
      <c r="B312" s="44" t="s">
        <v>73</v>
      </c>
      <c r="C312" s="39"/>
      <c r="D312" s="22">
        <v>0.0</v>
      </c>
      <c r="E312" s="25"/>
    </row>
    <row r="313" ht="15.75" hidden="1" customHeight="1">
      <c r="A313" s="52">
        <v>8410.0</v>
      </c>
      <c r="B313" s="44" t="s">
        <v>131</v>
      </c>
      <c r="C313" s="39"/>
      <c r="D313" s="22">
        <v>0.0</v>
      </c>
      <c r="E313" s="25"/>
    </row>
    <row r="314" ht="15.75" customHeight="1">
      <c r="A314" s="33"/>
      <c r="B314" s="30" t="s">
        <v>19</v>
      </c>
      <c r="C314" s="31">
        <f t="shared" ref="C314:D314" si="55">SUM(C302:C313)</f>
        <v>0</v>
      </c>
      <c r="D314" s="32">
        <f t="shared" si="55"/>
        <v>25940</v>
      </c>
      <c r="E314" s="25"/>
    </row>
    <row r="315" ht="15.75" customHeight="1">
      <c r="A315" s="33"/>
      <c r="B315" s="30" t="s">
        <v>20</v>
      </c>
      <c r="C315" s="39"/>
      <c r="D315" s="32">
        <f>C314-D314</f>
        <v>-25940</v>
      </c>
      <c r="E315" s="40"/>
    </row>
    <row r="316" ht="15.75" customHeight="1">
      <c r="A316" s="34">
        <v>122301.0</v>
      </c>
      <c r="B316" s="18" t="s">
        <v>132</v>
      </c>
      <c r="C316" s="35"/>
      <c r="D316" s="36"/>
      <c r="E316" s="37"/>
    </row>
    <row r="317" ht="15.75" customHeight="1">
      <c r="A317" s="52">
        <v>3120.0</v>
      </c>
      <c r="B317" s="44" t="s">
        <v>8</v>
      </c>
      <c r="C317" s="39">
        <v>0.0</v>
      </c>
      <c r="D317" s="22"/>
      <c r="E317" s="25">
        <f>E310+1</f>
        <v>10</v>
      </c>
    </row>
    <row r="318" ht="15.75" customHeight="1">
      <c r="A318" s="52">
        <v>3999.0</v>
      </c>
      <c r="B318" s="44" t="s">
        <v>133</v>
      </c>
      <c r="C318" s="68">
        <v>1000.0</v>
      </c>
      <c r="D318" s="22"/>
      <c r="E318" s="25">
        <f t="shared" ref="E318:E327" si="56">E317+1</f>
        <v>11</v>
      </c>
    </row>
    <row r="319" ht="15.75" customHeight="1">
      <c r="A319" s="52">
        <v>8310.0</v>
      </c>
      <c r="B319" s="44" t="s">
        <v>131</v>
      </c>
      <c r="C319" s="26">
        <v>10000.0</v>
      </c>
      <c r="D319" s="22"/>
      <c r="E319" s="25">
        <f t="shared" si="56"/>
        <v>12</v>
      </c>
    </row>
    <row r="320" ht="15.75" customHeight="1">
      <c r="A320" s="52">
        <v>4010.0</v>
      </c>
      <c r="B320" s="44" t="s">
        <v>48</v>
      </c>
      <c r="C320" s="39"/>
      <c r="D320" s="22">
        <v>0.0</v>
      </c>
      <c r="E320" s="25">
        <f t="shared" si="56"/>
        <v>13</v>
      </c>
    </row>
    <row r="321" ht="15.75" customHeight="1">
      <c r="A321" s="52">
        <v>5420.0</v>
      </c>
      <c r="B321" s="20" t="s">
        <v>134</v>
      </c>
      <c r="C321" s="39"/>
      <c r="D321" s="29">
        <v>35000.0</v>
      </c>
      <c r="E321" s="25">
        <f t="shared" si="56"/>
        <v>14</v>
      </c>
    </row>
    <row r="322" ht="15.75" customHeight="1">
      <c r="A322" s="52">
        <v>5461.0</v>
      </c>
      <c r="B322" s="20" t="s">
        <v>84</v>
      </c>
      <c r="C322" s="39"/>
      <c r="D322" s="22">
        <v>25000.0</v>
      </c>
      <c r="E322" s="40">
        <f t="shared" si="56"/>
        <v>15</v>
      </c>
    </row>
    <row r="323" ht="15.75" customHeight="1">
      <c r="A323" s="52">
        <v>6510.0</v>
      </c>
      <c r="B323" s="44" t="s">
        <v>135</v>
      </c>
      <c r="C323" s="39"/>
      <c r="D323" s="22">
        <v>20000.0</v>
      </c>
      <c r="E323" s="25">
        <f t="shared" si="56"/>
        <v>16</v>
      </c>
    </row>
    <row r="324" ht="15.75" customHeight="1">
      <c r="A324" s="52">
        <v>6550.0</v>
      </c>
      <c r="B324" s="44" t="s">
        <v>136</v>
      </c>
      <c r="C324" s="39"/>
      <c r="D324" s="22">
        <v>5000.0</v>
      </c>
      <c r="E324" s="25">
        <f t="shared" si="56"/>
        <v>17</v>
      </c>
    </row>
    <row r="325" ht="15.75" customHeight="1">
      <c r="A325" s="52">
        <v>6550.0</v>
      </c>
      <c r="B325" s="44" t="s">
        <v>136</v>
      </c>
      <c r="C325" s="39"/>
      <c r="D325" s="22">
        <v>50000.0</v>
      </c>
      <c r="E325" s="25">
        <f t="shared" si="56"/>
        <v>18</v>
      </c>
    </row>
    <row r="326" ht="15.75" customHeight="1">
      <c r="A326" s="52">
        <v>6570.0</v>
      </c>
      <c r="B326" s="44" t="s">
        <v>85</v>
      </c>
      <c r="C326" s="39"/>
      <c r="D326" s="29">
        <v>55000.0</v>
      </c>
      <c r="E326" s="25">
        <f t="shared" si="56"/>
        <v>19</v>
      </c>
    </row>
    <row r="327" ht="15.75" customHeight="1">
      <c r="A327" s="52">
        <v>8410.0</v>
      </c>
      <c r="B327" s="44" t="s">
        <v>131</v>
      </c>
      <c r="C327" s="39"/>
      <c r="D327" s="22">
        <v>3000.0</v>
      </c>
      <c r="E327" s="25">
        <f t="shared" si="56"/>
        <v>20</v>
      </c>
    </row>
    <row r="328" ht="15.75" customHeight="1">
      <c r="A328" s="33"/>
      <c r="B328" s="30" t="s">
        <v>19</v>
      </c>
      <c r="C328" s="31">
        <f t="shared" ref="C328:D328" si="57">SUM(C317:C327)</f>
        <v>11000</v>
      </c>
      <c r="D328" s="32">
        <f t="shared" si="57"/>
        <v>193000</v>
      </c>
      <c r="E328" s="25"/>
    </row>
    <row r="329" ht="15.75" customHeight="1">
      <c r="A329" s="33"/>
      <c r="B329" s="30" t="s">
        <v>20</v>
      </c>
      <c r="C329" s="39"/>
      <c r="D329" s="32">
        <f>C328-D328</f>
        <v>-182000</v>
      </c>
      <c r="E329" s="40"/>
    </row>
    <row r="330" ht="15.75" customHeight="1">
      <c r="A330" s="34">
        <v>122302.0</v>
      </c>
      <c r="B330" s="18" t="s">
        <v>137</v>
      </c>
      <c r="C330" s="35"/>
      <c r="D330" s="36"/>
      <c r="E330" s="37"/>
    </row>
    <row r="331" ht="15.75" customHeight="1">
      <c r="A331" s="52">
        <v>6550.0</v>
      </c>
      <c r="B331" s="44" t="s">
        <v>136</v>
      </c>
      <c r="C331" s="39"/>
      <c r="D331" s="29">
        <v>85000.0</v>
      </c>
      <c r="E331" s="25">
        <f>E327+1</f>
        <v>21</v>
      </c>
    </row>
    <row r="332" ht="15.75" customHeight="1">
      <c r="A332" s="33"/>
      <c r="B332" s="30" t="s">
        <v>19</v>
      </c>
      <c r="C332" s="31">
        <f t="shared" ref="C332:D332" si="58">SUM(C331)</f>
        <v>0</v>
      </c>
      <c r="D332" s="32">
        <f t="shared" si="58"/>
        <v>85000</v>
      </c>
      <c r="E332" s="25"/>
    </row>
    <row r="333" ht="15.75" customHeight="1">
      <c r="A333" s="33"/>
      <c r="B333" s="30" t="s">
        <v>20</v>
      </c>
      <c r="C333" s="39"/>
      <c r="D333" s="32">
        <f>C332-D332</f>
        <v>-85000</v>
      </c>
      <c r="E333" s="40"/>
    </row>
    <row r="334" ht="15.75" customHeight="1">
      <c r="A334" s="49"/>
      <c r="B334" s="18" t="s">
        <v>138</v>
      </c>
      <c r="C334" s="12">
        <f t="shared" ref="C334:D334" si="59">C314+C328+C332</f>
        <v>11000</v>
      </c>
      <c r="D334" s="13">
        <f t="shared" si="59"/>
        <v>303940</v>
      </c>
      <c r="E334" s="37"/>
    </row>
    <row r="335" ht="15.75" customHeight="1">
      <c r="A335" s="49"/>
      <c r="B335" s="18" t="s">
        <v>139</v>
      </c>
      <c r="C335" s="35"/>
      <c r="D335" s="13">
        <f>C334-D334</f>
        <v>-292940</v>
      </c>
      <c r="E335" s="37"/>
    </row>
    <row r="336" ht="15.75" customHeight="1">
      <c r="A336" s="62"/>
      <c r="B336" s="63"/>
      <c r="C336" s="64"/>
      <c r="D336" s="65"/>
      <c r="E336" s="25"/>
    </row>
    <row r="337" ht="15.75" customHeight="1">
      <c r="A337" s="62"/>
      <c r="B337" s="63"/>
      <c r="C337" s="64"/>
      <c r="D337" s="65"/>
      <c r="E337" s="25"/>
    </row>
    <row r="338" ht="15.75" customHeight="1">
      <c r="A338" s="6"/>
      <c r="B338" s="15" t="s">
        <v>140</v>
      </c>
      <c r="C338" s="16" t="s">
        <v>6</v>
      </c>
      <c r="D338" s="5"/>
      <c r="E338" s="9"/>
    </row>
    <row r="339" ht="15.75" customHeight="1">
      <c r="A339" s="97">
        <v>132300.0</v>
      </c>
      <c r="B339" s="58" t="s">
        <v>141</v>
      </c>
      <c r="C339" s="12" t="s">
        <v>2</v>
      </c>
      <c r="D339" s="13" t="s">
        <v>3</v>
      </c>
      <c r="E339" s="14" t="s">
        <v>4</v>
      </c>
    </row>
    <row r="340" ht="15.75" customHeight="1">
      <c r="A340" s="62">
        <v>3110.0</v>
      </c>
      <c r="B340" s="98" t="s">
        <v>111</v>
      </c>
      <c r="C340" s="39">
        <f>64000</f>
        <v>64000</v>
      </c>
      <c r="D340" s="22"/>
      <c r="E340" s="25">
        <v>1.0</v>
      </c>
    </row>
    <row r="341" ht="15.75" customHeight="1">
      <c r="A341" s="62">
        <v>3011.0</v>
      </c>
      <c r="B341" s="98" t="s">
        <v>22</v>
      </c>
      <c r="C341" s="39">
        <v>0.0</v>
      </c>
      <c r="D341" s="22"/>
      <c r="E341" s="25">
        <f t="shared" ref="E341:E345" si="60">E340+1</f>
        <v>2</v>
      </c>
    </row>
    <row r="342" ht="15.75" customHeight="1">
      <c r="A342" s="99">
        <v>3015.0</v>
      </c>
      <c r="B342" s="100" t="s">
        <v>142</v>
      </c>
      <c r="C342" s="68">
        <v>30000.0</v>
      </c>
      <c r="D342" s="22"/>
      <c r="E342" s="25">
        <f t="shared" si="60"/>
        <v>3</v>
      </c>
    </row>
    <row r="343" ht="15.75" customHeight="1">
      <c r="A343" s="99">
        <v>3023.0</v>
      </c>
      <c r="B343" s="100" t="s">
        <v>76</v>
      </c>
      <c r="C343" s="39">
        <f>600*299</f>
        <v>179400</v>
      </c>
      <c r="D343" s="22"/>
      <c r="E343" s="25">
        <f t="shared" si="60"/>
        <v>4</v>
      </c>
    </row>
    <row r="344" ht="15.75" customHeight="1">
      <c r="A344" s="62">
        <v>3030.0</v>
      </c>
      <c r="B344" s="98" t="s">
        <v>117</v>
      </c>
      <c r="C344" s="39">
        <v>0.0</v>
      </c>
      <c r="D344" s="22"/>
      <c r="E344" s="25">
        <f t="shared" si="60"/>
        <v>5</v>
      </c>
    </row>
    <row r="345" ht="15.75" customHeight="1">
      <c r="A345" s="101">
        <v>3905.0</v>
      </c>
      <c r="B345" s="102" t="s">
        <v>12</v>
      </c>
      <c r="C345" s="68">
        <v>29900.0</v>
      </c>
      <c r="D345" s="22"/>
      <c r="E345" s="25">
        <f t="shared" si="60"/>
        <v>6</v>
      </c>
    </row>
    <row r="346" ht="15.75" customHeight="1">
      <c r="A346" s="62">
        <v>4010.0</v>
      </c>
      <c r="B346" s="98" t="s">
        <v>48</v>
      </c>
      <c r="C346" s="39"/>
      <c r="D346" s="22">
        <v>0.0</v>
      </c>
      <c r="E346" s="25">
        <v>7.0</v>
      </c>
    </row>
    <row r="347" ht="15.75" customHeight="1">
      <c r="A347" s="99">
        <v>4042.0</v>
      </c>
      <c r="B347" s="100" t="s">
        <v>67</v>
      </c>
      <c r="C347" s="39"/>
      <c r="D347" s="22">
        <v>1000.0</v>
      </c>
      <c r="E347" s="25">
        <f t="shared" ref="E347:E353" si="61">E346+1</f>
        <v>8</v>
      </c>
    </row>
    <row r="348" ht="15.75" customHeight="1">
      <c r="A348" s="99">
        <v>4047.0</v>
      </c>
      <c r="B348" s="100" t="s">
        <v>14</v>
      </c>
      <c r="C348" s="39"/>
      <c r="D348" s="22">
        <v>0.0</v>
      </c>
      <c r="E348" s="25">
        <f t="shared" si="61"/>
        <v>9</v>
      </c>
    </row>
    <row r="349" ht="15.75" customHeight="1">
      <c r="A349" s="99">
        <v>4050.0</v>
      </c>
      <c r="B349" s="100" t="s">
        <v>42</v>
      </c>
      <c r="C349" s="39"/>
      <c r="D349" s="22">
        <f>0.3*sumif($A$340:$A$507,"=4190",D340:D507)</f>
        <v>5340</v>
      </c>
      <c r="E349" s="25">
        <f t="shared" si="61"/>
        <v>10</v>
      </c>
    </row>
    <row r="350" ht="15.75" customHeight="1">
      <c r="A350" s="99">
        <v>4060.0</v>
      </c>
      <c r="B350" s="100" t="s">
        <v>27</v>
      </c>
      <c r="C350" s="39"/>
      <c r="D350" s="22">
        <f>SUM((550*7+80*7+50*7)+(200*33+50*33))</f>
        <v>13010</v>
      </c>
      <c r="E350" s="25">
        <f t="shared" si="61"/>
        <v>11</v>
      </c>
    </row>
    <row r="351" ht="15.75" customHeight="1">
      <c r="A351" s="99">
        <v>4063.0</v>
      </c>
      <c r="B351" s="100" t="s">
        <v>70</v>
      </c>
      <c r="C351" s="39"/>
      <c r="D351" s="22">
        <v>800.0</v>
      </c>
      <c r="E351" s="25">
        <f t="shared" si="61"/>
        <v>12</v>
      </c>
    </row>
    <row r="352" ht="15.75" customHeight="1">
      <c r="A352" s="99">
        <v>4065.0</v>
      </c>
      <c r="B352" s="100" t="s">
        <v>16</v>
      </c>
      <c r="C352" s="39"/>
      <c r="D352" s="22">
        <v>1000.0</v>
      </c>
      <c r="E352" s="25">
        <f t="shared" si="61"/>
        <v>13</v>
      </c>
    </row>
    <row r="353" ht="15.75" customHeight="1">
      <c r="A353" s="99">
        <v>4080.0</v>
      </c>
      <c r="B353" s="100" t="s">
        <v>31</v>
      </c>
      <c r="C353" s="39"/>
      <c r="D353" s="22">
        <v>4000.0</v>
      </c>
      <c r="E353" s="25">
        <f t="shared" si="61"/>
        <v>14</v>
      </c>
    </row>
    <row r="354" ht="15.75" customHeight="1">
      <c r="A354" s="62">
        <v>4081.0</v>
      </c>
      <c r="B354" s="103" t="s">
        <v>44</v>
      </c>
      <c r="C354" s="39"/>
      <c r="D354" s="22">
        <v>1000.0</v>
      </c>
      <c r="E354" s="25">
        <v>15.0</v>
      </c>
    </row>
    <row r="355" ht="15.75" customHeight="1">
      <c r="A355" s="99">
        <v>4082.0</v>
      </c>
      <c r="B355" s="100" t="s">
        <v>45</v>
      </c>
      <c r="C355" s="39"/>
      <c r="D355" s="22">
        <f>1*400+(6+6)*200+28*100</f>
        <v>5600</v>
      </c>
      <c r="E355" s="25">
        <f t="shared" ref="E355:E366" si="62">E354+1</f>
        <v>16</v>
      </c>
    </row>
    <row r="356" ht="15.75" customHeight="1">
      <c r="A356" s="99">
        <v>4190.0</v>
      </c>
      <c r="B356" s="100" t="s">
        <v>32</v>
      </c>
      <c r="C356" s="39"/>
      <c r="D356" s="22">
        <v>0.0</v>
      </c>
      <c r="E356" s="25">
        <f t="shared" si="62"/>
        <v>17</v>
      </c>
    </row>
    <row r="357" ht="15.75" customHeight="1">
      <c r="A357" s="99">
        <v>4190.0</v>
      </c>
      <c r="B357" s="100" t="s">
        <v>32</v>
      </c>
      <c r="C357" s="39"/>
      <c r="D357" s="22">
        <f>1*1000+6*600+6*400+23*300+5*200+9*100</f>
        <v>15800</v>
      </c>
      <c r="E357" s="25">
        <f t="shared" si="62"/>
        <v>18</v>
      </c>
    </row>
    <row r="358" ht="15.75" customHeight="1">
      <c r="A358" s="99">
        <v>5010.0</v>
      </c>
      <c r="B358" s="100" t="s">
        <v>61</v>
      </c>
      <c r="C358" s="39"/>
      <c r="D358" s="22">
        <f>1848*32+1300*32+742*32+742*32+637*30+1000*30+55000+ 1600*32+1000*32+15400*2+1000*32</f>
        <v>398334</v>
      </c>
      <c r="E358" s="25">
        <f t="shared" si="62"/>
        <v>19</v>
      </c>
    </row>
    <row r="359" ht="15.75" customHeight="1">
      <c r="A359" s="99">
        <v>5050.0</v>
      </c>
      <c r="B359" s="100" t="s">
        <v>33</v>
      </c>
      <c r="C359" s="39"/>
      <c r="D359" s="22">
        <v>2500.0</v>
      </c>
      <c r="E359" s="25">
        <f t="shared" si="62"/>
        <v>20</v>
      </c>
    </row>
    <row r="360" ht="15.75" customHeight="1">
      <c r="A360" s="99">
        <v>5461.0</v>
      </c>
      <c r="B360" s="100" t="s">
        <v>84</v>
      </c>
      <c r="C360" s="39"/>
      <c r="D360" s="29">
        <v>10000.0</v>
      </c>
      <c r="E360" s="25">
        <f t="shared" si="62"/>
        <v>21</v>
      </c>
    </row>
    <row r="361" ht="15.75" customHeight="1">
      <c r="A361" s="99">
        <v>5710.0</v>
      </c>
      <c r="B361" s="100" t="s">
        <v>143</v>
      </c>
      <c r="C361" s="39"/>
      <c r="D361" s="29">
        <v>1500.0</v>
      </c>
      <c r="E361" s="25">
        <f t="shared" si="62"/>
        <v>22</v>
      </c>
    </row>
    <row r="362" ht="15.75" customHeight="1">
      <c r="A362" s="99">
        <v>5810.0</v>
      </c>
      <c r="B362" s="100" t="s">
        <v>34</v>
      </c>
      <c r="C362" s="39"/>
      <c r="D362" s="22">
        <v>1000.0</v>
      </c>
      <c r="E362" s="25">
        <f t="shared" si="62"/>
        <v>23</v>
      </c>
    </row>
    <row r="363" ht="15.75" customHeight="1">
      <c r="A363" s="99">
        <v>6070.0</v>
      </c>
      <c r="B363" s="100" t="s">
        <v>35</v>
      </c>
      <c r="C363" s="39"/>
      <c r="D363" s="22">
        <v>3000.0</v>
      </c>
      <c r="E363" s="25">
        <f t="shared" si="62"/>
        <v>24</v>
      </c>
    </row>
    <row r="364" ht="15.75" customHeight="1">
      <c r="A364" s="99">
        <v>6211.0</v>
      </c>
      <c r="B364" s="100" t="s">
        <v>73</v>
      </c>
      <c r="C364" s="39"/>
      <c r="D364" s="22">
        <v>0.0</v>
      </c>
      <c r="E364" s="25">
        <f t="shared" si="62"/>
        <v>25</v>
      </c>
    </row>
    <row r="365" ht="15.75" customHeight="1">
      <c r="A365" s="99">
        <v>6991.0</v>
      </c>
      <c r="B365" s="104" t="s">
        <v>76</v>
      </c>
      <c r="C365" s="39"/>
      <c r="D365" s="22">
        <v>1000.0</v>
      </c>
      <c r="E365" s="25">
        <f t="shared" si="62"/>
        <v>26</v>
      </c>
    </row>
    <row r="366" ht="15.75" customHeight="1">
      <c r="A366" s="62">
        <v>6993.0</v>
      </c>
      <c r="B366" s="105" t="s">
        <v>115</v>
      </c>
      <c r="C366" s="39"/>
      <c r="D366" s="22">
        <v>0.0</v>
      </c>
      <c r="E366" s="25">
        <f t="shared" si="62"/>
        <v>27</v>
      </c>
    </row>
    <row r="367" ht="15.75" customHeight="1">
      <c r="A367" s="62"/>
      <c r="B367" s="106" t="s">
        <v>19</v>
      </c>
      <c r="C367" s="31">
        <f>SUM(C340:C366)</f>
        <v>303300</v>
      </c>
      <c r="D367" s="32">
        <f>sum(D340:D366)</f>
        <v>464884</v>
      </c>
      <c r="E367" s="25"/>
    </row>
    <row r="368" ht="15.75" customHeight="1">
      <c r="A368" s="101"/>
      <c r="B368" s="106" t="s">
        <v>20</v>
      </c>
      <c r="C368" s="39"/>
      <c r="D368" s="32">
        <f>C367-D367</f>
        <v>-161584</v>
      </c>
      <c r="E368" s="40"/>
    </row>
    <row r="369" ht="15.75" customHeight="1">
      <c r="A369" s="97">
        <v>132317.0</v>
      </c>
      <c r="B369" s="58" t="s">
        <v>144</v>
      </c>
      <c r="C369" s="35"/>
      <c r="D369" s="36"/>
      <c r="E369" s="37"/>
    </row>
    <row r="370" ht="15.75" customHeight="1">
      <c r="A370" s="99">
        <v>3015.0</v>
      </c>
      <c r="B370" s="100" t="s">
        <v>142</v>
      </c>
      <c r="C370" s="39">
        <v>15000.0</v>
      </c>
      <c r="D370" s="22"/>
      <c r="E370" s="25">
        <v>27.0</v>
      </c>
    </row>
    <row r="371" ht="15.75" customHeight="1">
      <c r="A371" s="99">
        <v>4010.0</v>
      </c>
      <c r="B371" s="100" t="s">
        <v>48</v>
      </c>
      <c r="C371" s="39"/>
      <c r="D371" s="22">
        <v>15000.0</v>
      </c>
      <c r="E371" s="25">
        <v>28.0</v>
      </c>
    </row>
    <row r="372" ht="15.75" customHeight="1">
      <c r="A372" s="62"/>
      <c r="B372" s="106" t="s">
        <v>19</v>
      </c>
      <c r="C372" s="31">
        <f t="shared" ref="C372:D372" si="63">SUM(C370:C371)</f>
        <v>15000</v>
      </c>
      <c r="D372" s="32">
        <f t="shared" si="63"/>
        <v>15000</v>
      </c>
      <c r="E372" s="25"/>
    </row>
    <row r="373" ht="15.75" customHeight="1">
      <c r="A373" s="101"/>
      <c r="B373" s="106" t="s">
        <v>20</v>
      </c>
      <c r="C373" s="39"/>
      <c r="D373" s="32">
        <f>C372-D372</f>
        <v>0</v>
      </c>
      <c r="E373" s="40"/>
    </row>
    <row r="374" ht="15.75" customHeight="1">
      <c r="A374" s="97">
        <v>132301.0</v>
      </c>
      <c r="B374" s="107" t="s">
        <v>145</v>
      </c>
      <c r="C374" s="35"/>
      <c r="D374" s="36"/>
      <c r="E374" s="37"/>
    </row>
    <row r="375" ht="15.75" customHeight="1">
      <c r="A375" s="99">
        <v>3110.0</v>
      </c>
      <c r="B375" s="100" t="s">
        <v>111</v>
      </c>
      <c r="C375" s="39">
        <v>0.0</v>
      </c>
      <c r="D375" s="22"/>
      <c r="E375" s="25">
        <v>29.0</v>
      </c>
    </row>
    <row r="376" ht="15.75" customHeight="1">
      <c r="A376" s="99">
        <v>3011.0</v>
      </c>
      <c r="B376" s="100" t="s">
        <v>22</v>
      </c>
      <c r="C376" s="39">
        <f>350*60+100*40*2+75*50</f>
        <v>32750</v>
      </c>
      <c r="D376" s="22"/>
      <c r="E376" s="25">
        <v>30.0</v>
      </c>
    </row>
    <row r="377" ht="15.75" customHeight="1">
      <c r="A377" s="99">
        <v>3030.0</v>
      </c>
      <c r="B377" s="100" t="s">
        <v>117</v>
      </c>
      <c r="C377" s="39">
        <f>3500*1.13</f>
        <v>3955</v>
      </c>
      <c r="D377" s="22"/>
      <c r="E377" s="25">
        <v>31.0</v>
      </c>
    </row>
    <row r="378" ht="15.75" customHeight="1">
      <c r="A378" s="99">
        <v>4010.0</v>
      </c>
      <c r="B378" s="98" t="s">
        <v>48</v>
      </c>
      <c r="C378" s="39"/>
      <c r="D378" s="22">
        <v>0.0</v>
      </c>
      <c r="E378" s="25">
        <v>32.0</v>
      </c>
    </row>
    <row r="379" ht="15.75" customHeight="1">
      <c r="A379" s="99">
        <v>4012.0</v>
      </c>
      <c r="B379" s="100" t="s">
        <v>118</v>
      </c>
      <c r="C379" s="39"/>
      <c r="D379" s="22">
        <f>C377/1.9</f>
        <v>2081.578947</v>
      </c>
      <c r="E379" s="25">
        <v>33.0</v>
      </c>
    </row>
    <row r="380" ht="15.75" customHeight="1">
      <c r="A380" s="99">
        <v>4013.0</v>
      </c>
      <c r="B380" s="100" t="s">
        <v>98</v>
      </c>
      <c r="C380" s="39"/>
      <c r="D380" s="22">
        <f>7*40*2</f>
        <v>560</v>
      </c>
      <c r="E380" s="25">
        <f t="shared" ref="E380:E385" si="64">E379+1</f>
        <v>34</v>
      </c>
    </row>
    <row r="381" ht="15.75" customHeight="1">
      <c r="A381" s="99">
        <v>4040.0</v>
      </c>
      <c r="B381" s="100" t="s">
        <v>24</v>
      </c>
      <c r="C381" s="39"/>
      <c r="D381" s="22">
        <v>0.0</v>
      </c>
      <c r="E381" s="25">
        <f t="shared" si="64"/>
        <v>35</v>
      </c>
    </row>
    <row r="382" ht="15.75" customHeight="1">
      <c r="A382" s="99">
        <v>4047.0</v>
      </c>
      <c r="B382" s="100" t="s">
        <v>14</v>
      </c>
      <c r="C382" s="39"/>
      <c r="D382" s="29">
        <v>8000.0</v>
      </c>
      <c r="E382" s="25">
        <f t="shared" si="64"/>
        <v>36</v>
      </c>
    </row>
    <row r="383" ht="15.75" customHeight="1">
      <c r="A383" s="62">
        <v>4063.0</v>
      </c>
      <c r="B383" s="100" t="s">
        <v>70</v>
      </c>
      <c r="C383" s="39"/>
      <c r="D383" s="22">
        <v>0.0</v>
      </c>
      <c r="E383" s="25">
        <f t="shared" si="64"/>
        <v>37</v>
      </c>
    </row>
    <row r="384" ht="15.75" customHeight="1">
      <c r="A384" s="62">
        <v>4076.0</v>
      </c>
      <c r="B384" s="100" t="s">
        <v>29</v>
      </c>
      <c r="C384" s="39"/>
      <c r="D384" s="22">
        <f>350*60+50*75*3</f>
        <v>32250</v>
      </c>
      <c r="E384" s="25">
        <f t="shared" si="64"/>
        <v>38</v>
      </c>
    </row>
    <row r="385" ht="15.75" customHeight="1">
      <c r="A385" s="62">
        <v>4078.0</v>
      </c>
      <c r="B385" s="63" t="s">
        <v>30</v>
      </c>
      <c r="C385" s="39"/>
      <c r="D385" s="22">
        <v>0.0</v>
      </c>
      <c r="E385" s="25">
        <f t="shared" si="64"/>
        <v>39</v>
      </c>
    </row>
    <row r="386" ht="15.75" customHeight="1">
      <c r="A386" s="108">
        <v>6993.0</v>
      </c>
      <c r="B386" s="109" t="s">
        <v>115</v>
      </c>
      <c r="C386" s="31"/>
      <c r="D386" s="22">
        <f>12.5*30+6.25*50*2</f>
        <v>1000</v>
      </c>
      <c r="E386" s="25">
        <v>40.0</v>
      </c>
    </row>
    <row r="387" ht="15.75" customHeight="1">
      <c r="A387" s="62"/>
      <c r="B387" s="106" t="s">
        <v>19</v>
      </c>
      <c r="C387" s="31">
        <f>SUM(C375:C385)</f>
        <v>36705</v>
      </c>
      <c r="D387" s="32">
        <f>SUM(D375:D386)</f>
        <v>43891.57895</v>
      </c>
      <c r="E387" s="25"/>
    </row>
    <row r="388" ht="15.75" customHeight="1">
      <c r="A388" s="101"/>
      <c r="B388" s="106" t="s">
        <v>20</v>
      </c>
      <c r="C388" s="39"/>
      <c r="D388" s="32">
        <f>C387-D387</f>
        <v>-7186.578947</v>
      </c>
      <c r="E388" s="40"/>
    </row>
    <row r="389" ht="15.75" customHeight="1">
      <c r="A389" s="97">
        <v>132316.0</v>
      </c>
      <c r="B389" s="107" t="s">
        <v>146</v>
      </c>
      <c r="C389" s="35"/>
      <c r="D389" s="36"/>
      <c r="E389" s="37"/>
    </row>
    <row r="390" ht="15.75" customHeight="1">
      <c r="A390" s="99">
        <v>3110.0</v>
      </c>
      <c r="B390" s="100" t="s">
        <v>111</v>
      </c>
      <c r="C390" s="39">
        <v>0.0</v>
      </c>
      <c r="D390" s="22"/>
      <c r="E390" s="25">
        <v>41.0</v>
      </c>
    </row>
    <row r="391" ht="15.75" customHeight="1">
      <c r="A391" s="99">
        <v>4013.0</v>
      </c>
      <c r="B391" s="100" t="s">
        <v>98</v>
      </c>
      <c r="C391" s="39"/>
      <c r="D391" s="22">
        <f>40*10</f>
        <v>400</v>
      </c>
      <c r="E391" s="25">
        <f t="shared" ref="E391:E396" si="65">E390+1</f>
        <v>42</v>
      </c>
    </row>
    <row r="392" ht="15.75" customHeight="1">
      <c r="A392" s="99">
        <v>4040.0</v>
      </c>
      <c r="B392" s="100" t="s">
        <v>24</v>
      </c>
      <c r="C392" s="39"/>
      <c r="D392" s="22">
        <f>100*5</f>
        <v>500</v>
      </c>
      <c r="E392" s="25">
        <f t="shared" si="65"/>
        <v>43</v>
      </c>
    </row>
    <row r="393" ht="15.0" customHeight="1">
      <c r="A393" s="99">
        <v>4047.0</v>
      </c>
      <c r="B393" s="100" t="s">
        <v>14</v>
      </c>
      <c r="C393" s="39"/>
      <c r="D393" s="22">
        <f>4000</f>
        <v>4000</v>
      </c>
      <c r="E393" s="25">
        <f t="shared" si="65"/>
        <v>44</v>
      </c>
    </row>
    <row r="394" ht="15.75" customHeight="1">
      <c r="A394" s="62">
        <v>4063.0</v>
      </c>
      <c r="B394" s="100" t="s">
        <v>70</v>
      </c>
      <c r="C394" s="39"/>
      <c r="D394" s="22">
        <f>200</f>
        <v>200</v>
      </c>
      <c r="E394" s="25">
        <f t="shared" si="65"/>
        <v>45</v>
      </c>
    </row>
    <row r="395" ht="15.75" customHeight="1">
      <c r="A395" s="62">
        <v>4076.0</v>
      </c>
      <c r="B395" s="100" t="s">
        <v>29</v>
      </c>
      <c r="C395" s="39"/>
      <c r="D395" s="22">
        <f>75*40*3</f>
        <v>9000</v>
      </c>
      <c r="E395" s="25">
        <f t="shared" si="65"/>
        <v>46</v>
      </c>
    </row>
    <row r="396" ht="15.75" customHeight="1">
      <c r="A396" s="62">
        <v>4078.0</v>
      </c>
      <c r="B396" s="63" t="s">
        <v>30</v>
      </c>
      <c r="C396" s="39"/>
      <c r="D396" s="22">
        <v>500.0</v>
      </c>
      <c r="E396" s="25">
        <f t="shared" si="65"/>
        <v>47</v>
      </c>
    </row>
    <row r="397" ht="15.75" customHeight="1">
      <c r="A397" s="99">
        <v>4190.0</v>
      </c>
      <c r="B397" s="100" t="s">
        <v>32</v>
      </c>
      <c r="C397" s="39"/>
      <c r="D397" s="22">
        <v>0.0</v>
      </c>
      <c r="E397" s="25"/>
    </row>
    <row r="398" ht="15.75" customHeight="1">
      <c r="A398" s="62"/>
      <c r="B398" s="106" t="s">
        <v>19</v>
      </c>
      <c r="C398" s="31">
        <f t="shared" ref="C398:D398" si="66">SUM(C390:C397)</f>
        <v>0</v>
      </c>
      <c r="D398" s="32">
        <f t="shared" si="66"/>
        <v>14600</v>
      </c>
      <c r="E398" s="25"/>
    </row>
    <row r="399" ht="15.75" customHeight="1">
      <c r="A399" s="101"/>
      <c r="B399" s="106" t="s">
        <v>20</v>
      </c>
      <c r="C399" s="39"/>
      <c r="D399" s="32">
        <f>C398-D398</f>
        <v>-14600</v>
      </c>
      <c r="E399" s="40"/>
    </row>
    <row r="400" ht="15.75" customHeight="1">
      <c r="A400" s="97">
        <v>132302.0</v>
      </c>
      <c r="B400" s="107" t="s">
        <v>147</v>
      </c>
      <c r="C400" s="35"/>
      <c r="D400" s="36"/>
      <c r="E400" s="37"/>
    </row>
    <row r="401" ht="15.75" customHeight="1">
      <c r="A401" s="99">
        <v>3011.0</v>
      </c>
      <c r="B401" s="100" t="s">
        <v>22</v>
      </c>
      <c r="C401" s="39">
        <v>0.0</v>
      </c>
      <c r="D401" s="22"/>
      <c r="E401" s="25">
        <v>48.0</v>
      </c>
    </row>
    <row r="402" ht="15.75" customHeight="1">
      <c r="A402" s="99">
        <v>5810.0</v>
      </c>
      <c r="B402" s="100" t="s">
        <v>34</v>
      </c>
      <c r="C402" s="39"/>
      <c r="D402" s="29">
        <f>5000+2700.62</f>
        <v>7700.62</v>
      </c>
      <c r="E402" s="25">
        <v>49.0</v>
      </c>
    </row>
    <row r="403" ht="15.75" customHeight="1">
      <c r="A403" s="99">
        <v>6991.0</v>
      </c>
      <c r="B403" s="104" t="s">
        <v>76</v>
      </c>
      <c r="C403" s="39"/>
      <c r="D403" s="22">
        <f>45*1350</f>
        <v>60750</v>
      </c>
      <c r="E403" s="25">
        <v>50.0</v>
      </c>
    </row>
    <row r="404" ht="15.75" customHeight="1">
      <c r="A404" s="62"/>
      <c r="B404" s="106" t="s">
        <v>19</v>
      </c>
      <c r="C404" s="31">
        <f t="shared" ref="C404:D404" si="67">SUM(C401:C403)</f>
        <v>0</v>
      </c>
      <c r="D404" s="32">
        <f t="shared" si="67"/>
        <v>68450.62</v>
      </c>
      <c r="E404" s="25"/>
    </row>
    <row r="405" ht="15.75" customHeight="1">
      <c r="A405" s="101"/>
      <c r="B405" s="106" t="s">
        <v>20</v>
      </c>
      <c r="C405" s="39"/>
      <c r="D405" s="32">
        <f>C404-D404</f>
        <v>-68450.62</v>
      </c>
      <c r="E405" s="40"/>
    </row>
    <row r="406" ht="15.75" customHeight="1">
      <c r="A406" s="97">
        <v>132303.0</v>
      </c>
      <c r="B406" s="107" t="s">
        <v>148</v>
      </c>
      <c r="C406" s="35"/>
      <c r="D406" s="36"/>
      <c r="E406" s="37"/>
    </row>
    <row r="407" ht="15.75" customHeight="1">
      <c r="A407" s="99">
        <v>3011.0</v>
      </c>
      <c r="B407" s="100" t="s">
        <v>22</v>
      </c>
      <c r="C407" s="39">
        <v>0.0</v>
      </c>
      <c r="D407" s="22"/>
      <c r="E407" s="25">
        <v>51.0</v>
      </c>
    </row>
    <row r="408" ht="15.75" customHeight="1">
      <c r="A408" s="99">
        <v>5810.0</v>
      </c>
      <c r="B408" s="100" t="s">
        <v>34</v>
      </c>
      <c r="C408" s="39"/>
      <c r="D408" s="29">
        <v>5000.0</v>
      </c>
      <c r="E408" s="25">
        <f t="shared" ref="E408:E409" si="68">E407+1</f>
        <v>52</v>
      </c>
    </row>
    <row r="409" ht="15.75" customHeight="1">
      <c r="A409" s="99">
        <v>6991.0</v>
      </c>
      <c r="B409" s="104" t="s">
        <v>76</v>
      </c>
      <c r="C409" s="39"/>
      <c r="D409" s="22">
        <f>55*1000</f>
        <v>55000</v>
      </c>
      <c r="E409" s="25">
        <f t="shared" si="68"/>
        <v>53</v>
      </c>
    </row>
    <row r="410" ht="15.75" customHeight="1">
      <c r="A410" s="62"/>
      <c r="B410" s="106" t="s">
        <v>19</v>
      </c>
      <c r="C410" s="31">
        <f t="shared" ref="C410:D410" si="69">SUM(C407:C409)</f>
        <v>0</v>
      </c>
      <c r="D410" s="32">
        <f t="shared" si="69"/>
        <v>60000</v>
      </c>
      <c r="E410" s="25"/>
    </row>
    <row r="411" ht="15.75" customHeight="1">
      <c r="A411" s="101"/>
      <c r="B411" s="106" t="s">
        <v>20</v>
      </c>
      <c r="C411" s="39"/>
      <c r="D411" s="32">
        <f>C410-D410</f>
        <v>-60000</v>
      </c>
      <c r="E411" s="40"/>
    </row>
    <row r="412" ht="15.75" customHeight="1">
      <c r="A412" s="110">
        <v>132304.0</v>
      </c>
      <c r="B412" s="111" t="s">
        <v>149</v>
      </c>
      <c r="C412" s="112"/>
      <c r="D412" s="113"/>
      <c r="E412" s="114"/>
    </row>
    <row r="413" ht="15.75" hidden="1" customHeight="1">
      <c r="A413" s="99">
        <v>3010.0</v>
      </c>
      <c r="B413" s="100" t="s">
        <v>2</v>
      </c>
      <c r="C413" s="39">
        <v>0.0</v>
      </c>
      <c r="D413" s="22"/>
      <c r="E413" s="25"/>
    </row>
    <row r="414" ht="15.75" hidden="1" customHeight="1">
      <c r="A414" s="99">
        <v>4010.0</v>
      </c>
      <c r="B414" s="100" t="s">
        <v>48</v>
      </c>
      <c r="C414" s="39"/>
      <c r="D414" s="22">
        <v>0.0</v>
      </c>
      <c r="E414" s="25"/>
    </row>
    <row r="415" ht="15.75" hidden="1" customHeight="1">
      <c r="A415" s="62"/>
      <c r="B415" s="106" t="s">
        <v>19</v>
      </c>
      <c r="C415" s="31">
        <f t="shared" ref="C415:D415" si="70">SUM(C413:C414)</f>
        <v>0</v>
      </c>
      <c r="D415" s="32">
        <f t="shared" si="70"/>
        <v>0</v>
      </c>
      <c r="E415" s="25"/>
    </row>
    <row r="416" ht="15.75" hidden="1" customHeight="1">
      <c r="A416" s="101"/>
      <c r="B416" s="106" t="s">
        <v>20</v>
      </c>
      <c r="C416" s="39"/>
      <c r="D416" s="32">
        <f>C415-D415</f>
        <v>0</v>
      </c>
      <c r="E416" s="40"/>
    </row>
    <row r="417" ht="15.75" hidden="1" customHeight="1">
      <c r="A417" s="115" t="s">
        <v>150</v>
      </c>
      <c r="B417" s="111" t="s">
        <v>151</v>
      </c>
      <c r="C417" s="112"/>
      <c r="D417" s="113"/>
      <c r="E417" s="114"/>
    </row>
    <row r="418" ht="15.75" hidden="1" customHeight="1">
      <c r="A418" s="116">
        <v>3010.0</v>
      </c>
      <c r="B418" s="117" t="s">
        <v>2</v>
      </c>
      <c r="C418" s="112">
        <v>0.0</v>
      </c>
      <c r="D418" s="113"/>
      <c r="E418" s="114"/>
    </row>
    <row r="419" ht="15.75" hidden="1" customHeight="1">
      <c r="A419" s="116">
        <v>4010.0</v>
      </c>
      <c r="B419" s="117" t="s">
        <v>48</v>
      </c>
      <c r="C419" s="112"/>
      <c r="D419" s="118">
        <v>0.0</v>
      </c>
      <c r="E419" s="114"/>
    </row>
    <row r="420" ht="15.75" hidden="1" customHeight="1">
      <c r="A420" s="119"/>
      <c r="B420" s="111" t="s">
        <v>19</v>
      </c>
      <c r="C420" s="120">
        <f t="shared" ref="C420:D420" si="71">SUM(C418:C419)</f>
        <v>0</v>
      </c>
      <c r="D420" s="121">
        <f t="shared" si="71"/>
        <v>0</v>
      </c>
      <c r="E420" s="114"/>
    </row>
    <row r="421" ht="15.75" hidden="1" customHeight="1">
      <c r="A421" s="119"/>
      <c r="B421" s="111" t="s">
        <v>20</v>
      </c>
      <c r="C421" s="112"/>
      <c r="D421" s="118">
        <f>C420-D420</f>
        <v>0</v>
      </c>
      <c r="E421" s="114"/>
    </row>
    <row r="422" ht="15.75" hidden="1" customHeight="1">
      <c r="A422" s="115" t="s">
        <v>152</v>
      </c>
      <c r="B422" s="111" t="s">
        <v>153</v>
      </c>
      <c r="C422" s="112"/>
      <c r="D422" s="113"/>
      <c r="E422" s="114"/>
    </row>
    <row r="423" ht="15.75" hidden="1" customHeight="1">
      <c r="A423" s="116">
        <v>4076.0</v>
      </c>
      <c r="B423" s="117" t="s">
        <v>29</v>
      </c>
      <c r="C423" s="112"/>
      <c r="D423" s="118">
        <v>0.0</v>
      </c>
      <c r="E423" s="114"/>
    </row>
    <row r="424" ht="15.75" hidden="1" customHeight="1">
      <c r="A424" s="119"/>
      <c r="B424" s="111" t="s">
        <v>19</v>
      </c>
      <c r="C424" s="120">
        <f t="shared" ref="C424:D424" si="72">SUM(C423)</f>
        <v>0</v>
      </c>
      <c r="D424" s="121">
        <f t="shared" si="72"/>
        <v>0</v>
      </c>
      <c r="E424" s="114"/>
    </row>
    <row r="425" ht="15.75" hidden="1" customHeight="1">
      <c r="A425" s="119"/>
      <c r="B425" s="111" t="s">
        <v>20</v>
      </c>
      <c r="C425" s="112"/>
      <c r="D425" s="118">
        <f>C424-D424</f>
        <v>0</v>
      </c>
      <c r="E425" s="114"/>
    </row>
    <row r="426" ht="15.75" customHeight="1">
      <c r="A426" s="110">
        <v>132308.0</v>
      </c>
      <c r="B426" s="111" t="s">
        <v>154</v>
      </c>
      <c r="C426" s="112"/>
      <c r="D426" s="113"/>
      <c r="E426" s="114"/>
    </row>
    <row r="427" ht="15.75" hidden="1" customHeight="1">
      <c r="A427" s="99">
        <v>3030.0</v>
      </c>
      <c r="B427" s="100" t="s">
        <v>117</v>
      </c>
      <c r="C427" s="39">
        <v>0.0</v>
      </c>
      <c r="D427" s="22"/>
      <c r="E427" s="25"/>
    </row>
    <row r="428" ht="15.75" hidden="1" customHeight="1">
      <c r="A428" s="99">
        <v>4010.0</v>
      </c>
      <c r="B428" s="100" t="s">
        <v>48</v>
      </c>
      <c r="C428" s="39"/>
      <c r="D428" s="22">
        <v>0.0</v>
      </c>
      <c r="E428" s="25"/>
    </row>
    <row r="429" ht="15.75" hidden="1" customHeight="1">
      <c r="A429" s="99">
        <v>4012.0</v>
      </c>
      <c r="B429" s="100" t="s">
        <v>118</v>
      </c>
      <c r="C429" s="39"/>
      <c r="D429" s="22">
        <v>0.0</v>
      </c>
      <c r="E429" s="25"/>
    </row>
    <row r="430" ht="15.75" hidden="1" customHeight="1">
      <c r="A430" s="99">
        <v>4013.0</v>
      </c>
      <c r="B430" s="100" t="s">
        <v>98</v>
      </c>
      <c r="C430" s="39"/>
      <c r="D430" s="22">
        <v>0.0</v>
      </c>
      <c r="E430" s="25"/>
    </row>
    <row r="431" ht="15.75" hidden="1" customHeight="1">
      <c r="A431" s="99">
        <v>4078.0</v>
      </c>
      <c r="B431" s="100" t="s">
        <v>30</v>
      </c>
      <c r="C431" s="39"/>
      <c r="D431" s="22">
        <v>0.0</v>
      </c>
      <c r="E431" s="25"/>
    </row>
    <row r="432" ht="15.75" hidden="1" customHeight="1">
      <c r="A432" s="62"/>
      <c r="B432" s="106" t="s">
        <v>19</v>
      </c>
      <c r="C432" s="31">
        <f t="shared" ref="C432:D432" si="73">SUM(C427:C431)</f>
        <v>0</v>
      </c>
      <c r="D432" s="32">
        <f t="shared" si="73"/>
        <v>0</v>
      </c>
      <c r="E432" s="25"/>
    </row>
    <row r="433" ht="15.75" hidden="1" customHeight="1">
      <c r="A433" s="101"/>
      <c r="B433" s="106" t="s">
        <v>20</v>
      </c>
      <c r="C433" s="39"/>
      <c r="D433" s="32">
        <f>C432-D432</f>
        <v>0</v>
      </c>
      <c r="E433" s="40"/>
    </row>
    <row r="434" ht="15.75" customHeight="1">
      <c r="A434" s="97">
        <v>132309.0</v>
      </c>
      <c r="B434" s="58" t="s">
        <v>155</v>
      </c>
      <c r="C434" s="35"/>
      <c r="D434" s="36"/>
      <c r="E434" s="37"/>
    </row>
    <row r="435" ht="15.75" hidden="1" customHeight="1">
      <c r="A435" s="99">
        <v>3030.0</v>
      </c>
      <c r="B435" s="100" t="s">
        <v>117</v>
      </c>
      <c r="C435" s="39"/>
      <c r="D435" s="22"/>
      <c r="E435" s="25">
        <f>E431+1</f>
        <v>1</v>
      </c>
    </row>
    <row r="436" ht="15.75" hidden="1" customHeight="1">
      <c r="A436" s="99">
        <v>4010.0</v>
      </c>
      <c r="B436" s="100" t="s">
        <v>48</v>
      </c>
      <c r="C436" s="39"/>
      <c r="D436" s="22"/>
      <c r="E436" s="25">
        <f t="shared" ref="E436:E438" si="74">E435+1</f>
        <v>2</v>
      </c>
    </row>
    <row r="437" ht="15.75" hidden="1" customHeight="1">
      <c r="A437" s="99">
        <v>4012.0</v>
      </c>
      <c r="B437" s="100" t="s">
        <v>118</v>
      </c>
      <c r="C437" s="39" t="s">
        <v>156</v>
      </c>
      <c r="D437" s="22"/>
      <c r="E437" s="25">
        <f t="shared" si="74"/>
        <v>3</v>
      </c>
    </row>
    <row r="438" ht="15.75" hidden="1" customHeight="1">
      <c r="A438" s="99">
        <v>4013.0</v>
      </c>
      <c r="B438" s="100" t="s">
        <v>98</v>
      </c>
      <c r="C438" s="39"/>
      <c r="D438" s="22"/>
      <c r="E438" s="25">
        <f t="shared" si="74"/>
        <v>4</v>
      </c>
    </row>
    <row r="439" ht="15.75" hidden="1" customHeight="1">
      <c r="A439" s="62"/>
      <c r="B439" s="106" t="s">
        <v>19</v>
      </c>
      <c r="C439" s="31">
        <f t="shared" ref="C439:D439" si="75">SUM(C435:C438)</f>
        <v>0</v>
      </c>
      <c r="D439" s="32">
        <f t="shared" si="75"/>
        <v>0</v>
      </c>
      <c r="E439" s="25"/>
    </row>
    <row r="440" ht="15.75" hidden="1" customHeight="1">
      <c r="A440" s="101"/>
      <c r="B440" s="106" t="s">
        <v>20</v>
      </c>
      <c r="C440" s="39"/>
      <c r="D440" s="32">
        <f>C439-D439</f>
        <v>0</v>
      </c>
      <c r="E440" s="40"/>
    </row>
    <row r="441" ht="15.75" customHeight="1">
      <c r="A441" s="97">
        <v>132310.0</v>
      </c>
      <c r="B441" s="58" t="s">
        <v>157</v>
      </c>
      <c r="C441" s="35"/>
      <c r="D441" s="36"/>
      <c r="E441" s="37"/>
    </row>
    <row r="442" ht="15.75" hidden="1" customHeight="1">
      <c r="A442" s="101">
        <v>3010.0</v>
      </c>
      <c r="B442" s="102" t="s">
        <v>2</v>
      </c>
      <c r="C442" s="39"/>
      <c r="D442" s="22"/>
      <c r="E442" s="25">
        <f>E438+1</f>
        <v>5</v>
      </c>
    </row>
    <row r="443" ht="15.75" hidden="1" customHeight="1">
      <c r="A443" s="101">
        <v>3011.0</v>
      </c>
      <c r="B443" s="102" t="s">
        <v>22</v>
      </c>
      <c r="C443" s="39"/>
      <c r="D443" s="22"/>
      <c r="E443" s="25">
        <f t="shared" ref="E443:E447" si="76">E442+1</f>
        <v>6</v>
      </c>
    </row>
    <row r="444" ht="15.75" hidden="1" customHeight="1">
      <c r="A444" s="101">
        <v>4010.0</v>
      </c>
      <c r="B444" s="102" t="s">
        <v>48</v>
      </c>
      <c r="C444" s="39"/>
      <c r="D444" s="22"/>
      <c r="E444" s="25">
        <f t="shared" si="76"/>
        <v>7</v>
      </c>
    </row>
    <row r="445" ht="15.75" hidden="1" customHeight="1">
      <c r="A445" s="101">
        <v>4063.0</v>
      </c>
      <c r="B445" s="102" t="s">
        <v>70</v>
      </c>
      <c r="C445" s="39"/>
      <c r="D445" s="22"/>
      <c r="E445" s="25">
        <f t="shared" si="76"/>
        <v>8</v>
      </c>
    </row>
    <row r="446" ht="15.75" hidden="1" customHeight="1">
      <c r="A446" s="101">
        <v>4076.0</v>
      </c>
      <c r="B446" s="102" t="s">
        <v>29</v>
      </c>
      <c r="C446" s="39"/>
      <c r="D446" s="22"/>
      <c r="E446" s="25">
        <f t="shared" si="76"/>
        <v>9</v>
      </c>
    </row>
    <row r="447" ht="15.75" hidden="1" customHeight="1">
      <c r="A447" s="101">
        <v>5010.0</v>
      </c>
      <c r="B447" s="102" t="s">
        <v>61</v>
      </c>
      <c r="C447" s="39"/>
      <c r="D447" s="22"/>
      <c r="E447" s="25">
        <f t="shared" si="76"/>
        <v>10</v>
      </c>
    </row>
    <row r="448" ht="15.75" hidden="1" customHeight="1">
      <c r="A448" s="101"/>
      <c r="B448" s="106" t="s">
        <v>19</v>
      </c>
      <c r="C448" s="31">
        <f t="shared" ref="C448:D448" si="77">SUM(C442:C447)</f>
        <v>0</v>
      </c>
      <c r="D448" s="32">
        <f t="shared" si="77"/>
        <v>0</v>
      </c>
      <c r="E448" s="25"/>
    </row>
    <row r="449" ht="15.75" hidden="1" customHeight="1">
      <c r="A449" s="101"/>
      <c r="B449" s="106" t="s">
        <v>20</v>
      </c>
      <c r="C449" s="39"/>
      <c r="D449" s="32">
        <f>C448-D448</f>
        <v>0</v>
      </c>
      <c r="E449" s="40"/>
    </row>
    <row r="450" ht="15.75" customHeight="1">
      <c r="A450" s="97">
        <v>132311.0</v>
      </c>
      <c r="B450" s="58" t="s">
        <v>158</v>
      </c>
      <c r="C450" s="35"/>
      <c r="D450" s="36"/>
      <c r="E450" s="37"/>
    </row>
    <row r="451" ht="15.75" hidden="1" customHeight="1">
      <c r="A451" s="101">
        <v>3011.0</v>
      </c>
      <c r="B451" s="102" t="s">
        <v>22</v>
      </c>
      <c r="C451" s="39">
        <v>0.0</v>
      </c>
      <c r="D451" s="22"/>
      <c r="E451" s="25">
        <v>51.0</v>
      </c>
    </row>
    <row r="452" ht="15.75" hidden="1" customHeight="1">
      <c r="A452" s="101">
        <v>4190.0</v>
      </c>
      <c r="B452" s="102" t="s">
        <v>32</v>
      </c>
      <c r="C452" s="39"/>
      <c r="D452" s="22">
        <v>0.0</v>
      </c>
      <c r="E452" s="25">
        <f t="shared" ref="E452:E453" si="78">E451+1</f>
        <v>52</v>
      </c>
    </row>
    <row r="453" ht="15.75" hidden="1" customHeight="1">
      <c r="A453" s="101">
        <v>5810.0</v>
      </c>
      <c r="B453" s="102" t="s">
        <v>34</v>
      </c>
      <c r="C453" s="39"/>
      <c r="D453" s="22">
        <v>0.0</v>
      </c>
      <c r="E453" s="25">
        <f t="shared" si="78"/>
        <v>53</v>
      </c>
    </row>
    <row r="454" ht="15.75" hidden="1" customHeight="1">
      <c r="A454" s="62"/>
      <c r="B454" s="106" t="s">
        <v>19</v>
      </c>
      <c r="C454" s="31">
        <f t="shared" ref="C454:D454" si="79">SUM(C451:C453)</f>
        <v>0</v>
      </c>
      <c r="D454" s="32">
        <f t="shared" si="79"/>
        <v>0</v>
      </c>
      <c r="E454" s="25"/>
    </row>
    <row r="455" ht="15.75" hidden="1" customHeight="1">
      <c r="A455" s="101"/>
      <c r="B455" s="106" t="s">
        <v>20</v>
      </c>
      <c r="C455" s="39"/>
      <c r="D455" s="32">
        <f>C454-D454</f>
        <v>0</v>
      </c>
      <c r="E455" s="40"/>
    </row>
    <row r="456" ht="15.75" customHeight="1">
      <c r="A456" s="97">
        <v>132312.0</v>
      </c>
      <c r="B456" s="58" t="s">
        <v>159</v>
      </c>
      <c r="C456" s="35"/>
      <c r="D456" s="36"/>
      <c r="E456" s="37"/>
    </row>
    <row r="457" ht="15.75" customHeight="1">
      <c r="A457" s="99">
        <v>3030.0</v>
      </c>
      <c r="B457" s="100" t="s">
        <v>117</v>
      </c>
      <c r="C457" s="39">
        <f>4000*1.13</f>
        <v>4520</v>
      </c>
      <c r="D457" s="22"/>
      <c r="E457" s="25">
        <f>E453+1</f>
        <v>54</v>
      </c>
    </row>
    <row r="458" ht="15.75" customHeight="1">
      <c r="A458" s="99">
        <v>4010.0</v>
      </c>
      <c r="B458" s="100" t="s">
        <v>48</v>
      </c>
      <c r="C458" s="39"/>
      <c r="D458" s="22">
        <v>500.0</v>
      </c>
      <c r="E458" s="25">
        <f t="shared" ref="E458:E461" si="80">E457+1</f>
        <v>55</v>
      </c>
    </row>
    <row r="459" ht="15.75" customHeight="1">
      <c r="A459" s="99">
        <v>4012.0</v>
      </c>
      <c r="B459" s="100" t="s">
        <v>118</v>
      </c>
      <c r="C459" s="39"/>
      <c r="D459" s="22">
        <f>C457/1.9</f>
        <v>2378.947368</v>
      </c>
      <c r="E459" s="25">
        <f t="shared" si="80"/>
        <v>56</v>
      </c>
    </row>
    <row r="460" ht="15.75" customHeight="1">
      <c r="A460" s="99">
        <v>4013.0</v>
      </c>
      <c r="B460" s="100" t="s">
        <v>98</v>
      </c>
      <c r="C460" s="39"/>
      <c r="D460" s="22">
        <f>4*2*40</f>
        <v>320</v>
      </c>
      <c r="E460" s="25">
        <f t="shared" si="80"/>
        <v>57</v>
      </c>
    </row>
    <row r="461" ht="15.75" customHeight="1">
      <c r="A461" s="122">
        <v>4076.0</v>
      </c>
      <c r="B461" s="104" t="s">
        <v>29</v>
      </c>
      <c r="C461" s="39"/>
      <c r="D461" s="22">
        <v>1000.0</v>
      </c>
      <c r="E461" s="25">
        <f t="shared" si="80"/>
        <v>58</v>
      </c>
    </row>
    <row r="462" ht="15.75" customHeight="1">
      <c r="A462" s="62"/>
      <c r="B462" s="106" t="s">
        <v>19</v>
      </c>
      <c r="C462" s="31">
        <f t="shared" ref="C462:D462" si="81">SUM(C457:C461)</f>
        <v>4520</v>
      </c>
      <c r="D462" s="32">
        <f t="shared" si="81"/>
        <v>4198.947368</v>
      </c>
      <c r="E462" s="25"/>
    </row>
    <row r="463" ht="15.75" customHeight="1">
      <c r="A463" s="101"/>
      <c r="B463" s="106" t="s">
        <v>20</v>
      </c>
      <c r="C463" s="39"/>
      <c r="D463" s="32">
        <f>C462-D462</f>
        <v>321.0526316</v>
      </c>
      <c r="E463" s="40"/>
    </row>
    <row r="464" ht="15.75" customHeight="1">
      <c r="A464" s="97">
        <v>132313.0</v>
      </c>
      <c r="B464" s="58" t="s">
        <v>160</v>
      </c>
      <c r="C464" s="35"/>
      <c r="D464" s="36"/>
      <c r="E464" s="37"/>
    </row>
    <row r="465" ht="15.75" customHeight="1">
      <c r="A465" s="62">
        <v>3011.0</v>
      </c>
      <c r="B465" s="98" t="s">
        <v>22</v>
      </c>
      <c r="C465" s="68">
        <v>0.0</v>
      </c>
      <c r="D465" s="22"/>
      <c r="E465" s="25">
        <f>E461+1</f>
        <v>59</v>
      </c>
    </row>
    <row r="466" ht="15.75" customHeight="1">
      <c r="A466" s="62">
        <v>3030.0</v>
      </c>
      <c r="B466" s="98" t="s">
        <v>117</v>
      </c>
      <c r="C466" s="68">
        <v>0.0</v>
      </c>
      <c r="D466" s="22"/>
      <c r="E466" s="25">
        <f t="shared" ref="E466:E471" si="82">E465+1</f>
        <v>60</v>
      </c>
    </row>
    <row r="467" ht="15.75" customHeight="1">
      <c r="A467" s="62">
        <v>4012.0</v>
      </c>
      <c r="B467" s="98" t="s">
        <v>118</v>
      </c>
      <c r="C467" s="39"/>
      <c r="D467" s="22">
        <f>C466/1.9</f>
        <v>0</v>
      </c>
      <c r="E467" s="25">
        <f t="shared" si="82"/>
        <v>61</v>
      </c>
    </row>
    <row r="468" ht="15.75" customHeight="1">
      <c r="A468" s="62">
        <v>4013.0</v>
      </c>
      <c r="B468" s="98" t="s">
        <v>98</v>
      </c>
      <c r="C468" s="39"/>
      <c r="D468" s="29">
        <v>0.0</v>
      </c>
      <c r="E468" s="25">
        <f t="shared" si="82"/>
        <v>62</v>
      </c>
    </row>
    <row r="469" ht="15.75" customHeight="1">
      <c r="A469" s="62">
        <v>4076.0</v>
      </c>
      <c r="B469" s="98" t="s">
        <v>29</v>
      </c>
      <c r="C469" s="39"/>
      <c r="D469" s="29">
        <v>0.0</v>
      </c>
      <c r="E469" s="25">
        <f t="shared" si="82"/>
        <v>63</v>
      </c>
    </row>
    <row r="470" ht="15.75" customHeight="1">
      <c r="A470" s="62">
        <v>4049.0</v>
      </c>
      <c r="B470" s="98" t="s">
        <v>161</v>
      </c>
      <c r="C470" s="39"/>
      <c r="D470" s="22">
        <v>1000.0</v>
      </c>
      <c r="E470" s="25">
        <f t="shared" si="82"/>
        <v>64</v>
      </c>
    </row>
    <row r="471" ht="15.75" customHeight="1">
      <c r="A471" s="62">
        <v>4078.0</v>
      </c>
      <c r="B471" s="98" t="s">
        <v>30</v>
      </c>
      <c r="C471" s="39"/>
      <c r="D471" s="29">
        <v>0.0</v>
      </c>
      <c r="E471" s="25">
        <f t="shared" si="82"/>
        <v>65</v>
      </c>
    </row>
    <row r="472" ht="15.75" customHeight="1">
      <c r="A472" s="62"/>
      <c r="B472" s="106" t="s">
        <v>19</v>
      </c>
      <c r="C472" s="31">
        <f>SUM(C465:C471)</f>
        <v>0</v>
      </c>
      <c r="D472" s="32">
        <f>sum(D465:D471)</f>
        <v>1000</v>
      </c>
      <c r="E472" s="25"/>
    </row>
    <row r="473" ht="15.75" customHeight="1">
      <c r="A473" s="101"/>
      <c r="B473" s="106" t="s">
        <v>20</v>
      </c>
      <c r="C473" s="31"/>
      <c r="D473" s="32">
        <f>C472-D472</f>
        <v>-1000</v>
      </c>
      <c r="E473" s="40"/>
    </row>
    <row r="474" ht="15.75" customHeight="1">
      <c r="A474" s="97">
        <v>132314.0</v>
      </c>
      <c r="B474" s="58" t="s">
        <v>162</v>
      </c>
      <c r="C474" s="35"/>
      <c r="D474" s="36"/>
      <c r="E474" s="37"/>
    </row>
    <row r="475" ht="15.75" hidden="1" customHeight="1">
      <c r="A475" s="62">
        <v>3011.0</v>
      </c>
      <c r="B475" s="98" t="s">
        <v>22</v>
      </c>
      <c r="C475" s="39">
        <v>0.0</v>
      </c>
      <c r="D475" s="22"/>
      <c r="E475" s="25">
        <f>E471+1</f>
        <v>66</v>
      </c>
    </row>
    <row r="476" ht="15.75" hidden="1" customHeight="1">
      <c r="A476" s="62">
        <v>4190.0</v>
      </c>
      <c r="B476" s="98" t="s">
        <v>32</v>
      </c>
      <c r="C476" s="39"/>
      <c r="D476" s="22">
        <v>0.0</v>
      </c>
      <c r="E476" s="25">
        <f t="shared" ref="E476:E477" si="83">E475+1</f>
        <v>67</v>
      </c>
    </row>
    <row r="477" ht="15.75" hidden="1" customHeight="1">
      <c r="A477" s="62">
        <v>5810.0</v>
      </c>
      <c r="B477" s="98" t="s">
        <v>34</v>
      </c>
      <c r="C477" s="39"/>
      <c r="D477" s="22">
        <v>0.0</v>
      </c>
      <c r="E477" s="25">
        <f t="shared" si="83"/>
        <v>68</v>
      </c>
    </row>
    <row r="478" ht="15.75" hidden="1" customHeight="1">
      <c r="A478" s="62"/>
      <c r="B478" s="106" t="s">
        <v>19</v>
      </c>
      <c r="C478" s="31">
        <f t="shared" ref="C478:D478" si="84">SUM(C475:C477)</f>
        <v>0</v>
      </c>
      <c r="D478" s="32">
        <f t="shared" si="84"/>
        <v>0</v>
      </c>
      <c r="E478" s="25"/>
    </row>
    <row r="479" ht="15.75" hidden="1" customHeight="1">
      <c r="A479" s="101"/>
      <c r="B479" s="106" t="s">
        <v>20</v>
      </c>
      <c r="C479" s="39"/>
      <c r="D479" s="32">
        <f>C478-D478</f>
        <v>0</v>
      </c>
      <c r="E479" s="40"/>
    </row>
    <row r="480" ht="15.75" customHeight="1">
      <c r="A480" s="97">
        <v>132315.0</v>
      </c>
      <c r="B480" s="58" t="s">
        <v>163</v>
      </c>
      <c r="C480" s="35"/>
      <c r="D480" s="36"/>
      <c r="E480" s="37"/>
    </row>
    <row r="481" ht="15.75" customHeight="1">
      <c r="A481" s="123">
        <v>3011.0</v>
      </c>
      <c r="B481" s="100" t="s">
        <v>22</v>
      </c>
      <c r="C481" s="39">
        <v>0.0</v>
      </c>
      <c r="D481" s="22"/>
      <c r="E481" s="40">
        <f>E477+1</f>
        <v>69</v>
      </c>
    </row>
    <row r="482" ht="15.75" customHeight="1">
      <c r="A482" s="123">
        <v>6991.0</v>
      </c>
      <c r="B482" s="104" t="s">
        <v>76</v>
      </c>
      <c r="C482" s="39"/>
      <c r="D482" s="22">
        <v>15000.0</v>
      </c>
      <c r="E482" s="25">
        <f>E481+1</f>
        <v>70</v>
      </c>
    </row>
    <row r="483" ht="15.75" customHeight="1">
      <c r="A483" s="101"/>
      <c r="B483" s="106" t="s">
        <v>19</v>
      </c>
      <c r="C483" s="31">
        <f>sum(C481:C482)</f>
        <v>0</v>
      </c>
      <c r="D483" s="32">
        <f>SUM(D481:D482)</f>
        <v>15000</v>
      </c>
      <c r="E483" s="40"/>
    </row>
    <row r="484" ht="17.25" customHeight="1">
      <c r="A484" s="101"/>
      <c r="B484" s="106" t="s">
        <v>20</v>
      </c>
      <c r="C484" s="31"/>
      <c r="D484" s="32">
        <f>C483-D483</f>
        <v>-15000</v>
      </c>
      <c r="E484" s="40"/>
    </row>
    <row r="485" ht="15.75" customHeight="1">
      <c r="A485" s="97">
        <v>132318.0</v>
      </c>
      <c r="B485" s="58" t="s">
        <v>164</v>
      </c>
      <c r="C485" s="35"/>
      <c r="D485" s="36"/>
      <c r="E485" s="37"/>
    </row>
    <row r="486" ht="15.75" hidden="1" customHeight="1">
      <c r="A486" s="62">
        <v>3110.0</v>
      </c>
      <c r="B486" s="98" t="s">
        <v>111</v>
      </c>
      <c r="C486" s="39"/>
      <c r="D486" s="22"/>
      <c r="E486" s="25"/>
    </row>
    <row r="487" ht="15.75" hidden="1" customHeight="1">
      <c r="A487" s="62">
        <v>4010.0</v>
      </c>
      <c r="B487" s="98" t="s">
        <v>48</v>
      </c>
      <c r="C487" s="39"/>
      <c r="D487" s="22"/>
      <c r="E487" s="25"/>
    </row>
    <row r="488" ht="15.75" hidden="1" customHeight="1">
      <c r="A488" s="62"/>
      <c r="B488" s="106" t="s">
        <v>19</v>
      </c>
      <c r="C488" s="39">
        <f t="shared" ref="C488:D488" si="85">SUM(C486:C487)</f>
        <v>0</v>
      </c>
      <c r="D488" s="32">
        <f t="shared" si="85"/>
        <v>0</v>
      </c>
      <c r="E488" s="25"/>
    </row>
    <row r="489" ht="15.75" hidden="1" customHeight="1">
      <c r="A489" s="101"/>
      <c r="B489" s="106" t="s">
        <v>20</v>
      </c>
      <c r="C489" s="39"/>
      <c r="D489" s="32">
        <f>C488-D488</f>
        <v>0</v>
      </c>
      <c r="E489" s="40"/>
    </row>
    <row r="490" ht="15.75" customHeight="1">
      <c r="A490" s="97">
        <v>132319.0</v>
      </c>
      <c r="B490" s="58" t="s">
        <v>165</v>
      </c>
      <c r="C490" s="35"/>
      <c r="D490" s="36"/>
      <c r="E490" s="37"/>
    </row>
    <row r="491" ht="15.75" customHeight="1">
      <c r="A491" s="62">
        <v>3010.0</v>
      </c>
      <c r="B491" s="98" t="s">
        <v>2</v>
      </c>
      <c r="C491" s="39">
        <v>0.0</v>
      </c>
      <c r="D491" s="22"/>
      <c r="E491" s="25">
        <v>71.0</v>
      </c>
    </row>
    <row r="492" ht="15.75" customHeight="1">
      <c r="A492" s="62">
        <v>4060.0</v>
      </c>
      <c r="B492" s="98" t="s">
        <v>27</v>
      </c>
      <c r="C492" s="39"/>
      <c r="D492" s="22">
        <f>(550+80+50)*4</f>
        <v>2720</v>
      </c>
      <c r="E492" s="25">
        <v>72.0</v>
      </c>
    </row>
    <row r="493" ht="15.75" customHeight="1">
      <c r="A493" s="62">
        <v>4076.0</v>
      </c>
      <c r="B493" s="98" t="s">
        <v>29</v>
      </c>
      <c r="C493" s="39"/>
      <c r="D493" s="22">
        <f>300*2</f>
        <v>600</v>
      </c>
      <c r="E493" s="25">
        <v>73.0</v>
      </c>
    </row>
    <row r="494" ht="15.75" customHeight="1">
      <c r="A494" s="99">
        <v>4082.0</v>
      </c>
      <c r="B494" s="100" t="s">
        <v>45</v>
      </c>
      <c r="C494" s="39"/>
      <c r="D494" s="22">
        <f>4*200</f>
        <v>800</v>
      </c>
      <c r="E494" s="25">
        <f t="shared" ref="E494:E497" si="86">E493+1</f>
        <v>74</v>
      </c>
    </row>
    <row r="495" ht="15.75" customHeight="1">
      <c r="A495" s="62">
        <v>4190.0</v>
      </c>
      <c r="B495" s="98" t="s">
        <v>32</v>
      </c>
      <c r="C495" s="39"/>
      <c r="D495" s="22">
        <f>4*500</f>
        <v>2000</v>
      </c>
      <c r="E495" s="25">
        <f t="shared" si="86"/>
        <v>75</v>
      </c>
    </row>
    <row r="496" ht="15.75" customHeight="1">
      <c r="A496" s="62">
        <v>5461.0</v>
      </c>
      <c r="B496" s="98" t="s">
        <v>84</v>
      </c>
      <c r="C496" s="39"/>
      <c r="D496" s="22">
        <f>SUM(500*2)</f>
        <v>1000</v>
      </c>
      <c r="E496" s="25">
        <f t="shared" si="86"/>
        <v>76</v>
      </c>
    </row>
    <row r="497" ht="15.75" customHeight="1">
      <c r="A497" s="62">
        <v>5010.0</v>
      </c>
      <c r="B497" s="98" t="s">
        <v>61</v>
      </c>
      <c r="C497" s="39"/>
      <c r="D497" s="29">
        <v>5000.0</v>
      </c>
      <c r="E497" s="25">
        <f t="shared" si="86"/>
        <v>77</v>
      </c>
    </row>
    <row r="498" ht="15.75" customHeight="1">
      <c r="A498" s="62"/>
      <c r="B498" s="106" t="s">
        <v>19</v>
      </c>
      <c r="C498" s="31">
        <f t="shared" ref="C498:D498" si="87">SUM(C491:C497)</f>
        <v>0</v>
      </c>
      <c r="D498" s="32">
        <f t="shared" si="87"/>
        <v>12120</v>
      </c>
      <c r="E498" s="25"/>
    </row>
    <row r="499" ht="15.75" customHeight="1">
      <c r="A499" s="101"/>
      <c r="B499" s="106" t="s">
        <v>20</v>
      </c>
      <c r="C499" s="39"/>
      <c r="D499" s="32">
        <f>C498-D498</f>
        <v>-12120</v>
      </c>
      <c r="E499" s="40"/>
    </row>
    <row r="500" ht="15.75" customHeight="1">
      <c r="A500" s="97">
        <v>132320.0</v>
      </c>
      <c r="B500" s="58" t="s">
        <v>166</v>
      </c>
      <c r="C500" s="35"/>
      <c r="D500" s="36"/>
      <c r="E500" s="37"/>
    </row>
    <row r="501" ht="15.75" customHeight="1">
      <c r="A501" s="62">
        <v>5010.0</v>
      </c>
      <c r="B501" s="98" t="s">
        <v>61</v>
      </c>
      <c r="C501" s="39"/>
      <c r="D501" s="29">
        <v>1500.0</v>
      </c>
      <c r="E501" s="25">
        <f>E497+1</f>
        <v>78</v>
      </c>
    </row>
    <row r="502" ht="15.75" customHeight="1">
      <c r="A502" s="62">
        <v>4076.0</v>
      </c>
      <c r="B502" s="98" t="s">
        <v>29</v>
      </c>
      <c r="C502" s="39"/>
      <c r="D502" s="22">
        <f>64*25</f>
        <v>1600</v>
      </c>
      <c r="E502" s="25">
        <f t="shared" ref="E502:E505" si="88">E501+1</f>
        <v>79</v>
      </c>
    </row>
    <row r="503" ht="15.75" customHeight="1">
      <c r="A503" s="62">
        <v>4047.0</v>
      </c>
      <c r="B503" s="98" t="s">
        <v>14</v>
      </c>
      <c r="C503" s="39"/>
      <c r="D503" s="22">
        <v>1000.0</v>
      </c>
      <c r="E503" s="25">
        <f t="shared" si="88"/>
        <v>80</v>
      </c>
    </row>
    <row r="504" ht="15.75" customHeight="1">
      <c r="A504" s="62">
        <v>5461.0</v>
      </c>
      <c r="B504" s="98" t="s">
        <v>84</v>
      </c>
      <c r="C504" s="39"/>
      <c r="D504" s="22">
        <v>500.0</v>
      </c>
      <c r="E504" s="25">
        <f t="shared" si="88"/>
        <v>81</v>
      </c>
    </row>
    <row r="505" ht="15.75" customHeight="1">
      <c r="A505" s="62">
        <v>4049.0</v>
      </c>
      <c r="B505" s="98" t="s">
        <v>161</v>
      </c>
      <c r="C505" s="39"/>
      <c r="D505" s="22">
        <v>300.0</v>
      </c>
      <c r="E505" s="25">
        <f t="shared" si="88"/>
        <v>82</v>
      </c>
    </row>
    <row r="506" ht="15.75" customHeight="1">
      <c r="A506" s="62"/>
      <c r="B506" s="106" t="s">
        <v>19</v>
      </c>
      <c r="C506" s="31">
        <f>sum(C501:C505)</f>
        <v>0</v>
      </c>
      <c r="D506" s="32">
        <f>SUM(D501:D505)</f>
        <v>4900</v>
      </c>
      <c r="E506" s="25"/>
    </row>
    <row r="507" ht="15.75" customHeight="1">
      <c r="A507" s="62"/>
      <c r="B507" s="106" t="s">
        <v>20</v>
      </c>
      <c r="C507" s="39"/>
      <c r="D507" s="32">
        <f>C506-D506</f>
        <v>-4900</v>
      </c>
      <c r="E507" s="25"/>
    </row>
    <row r="508" ht="15.75" customHeight="1">
      <c r="A508" s="124"/>
      <c r="B508" s="58" t="s">
        <v>167</v>
      </c>
      <c r="C508" s="12">
        <f>C483+C478+C472+C454+C448+C439+C432+C424+C420+C415+C410+C404+C387+C367+C462+C398+C372+C488+C498+C506</f>
        <v>359525</v>
      </c>
      <c r="D508" s="13">
        <f>D483+D478+D472+D454+D448+D439+D432+D424+D420+D415+D410+D404+D387+D367+D462+D398+D488+D372+D506+D498</f>
        <v>704045.1463</v>
      </c>
      <c r="E508" s="37"/>
    </row>
    <row r="509" ht="15.75" customHeight="1">
      <c r="A509" s="124"/>
      <c r="B509" s="58" t="s">
        <v>168</v>
      </c>
      <c r="C509" s="12"/>
      <c r="D509" s="13">
        <f>C508-D508</f>
        <v>-344520.1463</v>
      </c>
      <c r="E509" s="37"/>
    </row>
    <row r="510" ht="15.75" customHeight="1">
      <c r="A510" s="62"/>
      <c r="B510" s="63"/>
      <c r="C510" s="64"/>
      <c r="D510" s="65"/>
      <c r="E510" s="25"/>
    </row>
    <row r="511" ht="15.75" customHeight="1">
      <c r="A511" s="62"/>
      <c r="B511" s="63"/>
      <c r="C511" s="64"/>
      <c r="D511" s="65"/>
      <c r="E511" s="25"/>
    </row>
    <row r="512" ht="15.75" customHeight="1">
      <c r="A512" s="6"/>
      <c r="B512" s="15" t="s">
        <v>169</v>
      </c>
      <c r="C512" s="16" t="s">
        <v>6</v>
      </c>
      <c r="D512" s="5"/>
      <c r="E512" s="9"/>
    </row>
    <row r="513" ht="15.75" customHeight="1">
      <c r="A513" s="125">
        <v>142300.0</v>
      </c>
      <c r="B513" s="126" t="s">
        <v>170</v>
      </c>
      <c r="C513" s="12" t="s">
        <v>2</v>
      </c>
      <c r="D513" s="13" t="s">
        <v>3</v>
      </c>
      <c r="E513" s="14" t="s">
        <v>4</v>
      </c>
    </row>
    <row r="514" ht="15.75" customHeight="1">
      <c r="A514" s="62">
        <v>3110.0</v>
      </c>
      <c r="B514" s="98" t="s">
        <v>111</v>
      </c>
      <c r="C514" s="39">
        <v>0.0</v>
      </c>
      <c r="D514" s="22"/>
      <c r="E514" s="25">
        <v>1.0</v>
      </c>
    </row>
    <row r="515" ht="15.75" customHeight="1">
      <c r="A515" s="62">
        <v>3011.0</v>
      </c>
      <c r="B515" s="98" t="s">
        <v>22</v>
      </c>
      <c r="C515" s="39">
        <v>0.0</v>
      </c>
      <c r="D515" s="22"/>
      <c r="E515" s="25">
        <f t="shared" ref="E515:E531" si="89">E514+1</f>
        <v>2</v>
      </c>
    </row>
    <row r="516" ht="15.75" customHeight="1">
      <c r="A516" s="62">
        <v>4010.0</v>
      </c>
      <c r="B516" s="98" t="s">
        <v>48</v>
      </c>
      <c r="C516" s="39"/>
      <c r="D516" s="22">
        <v>0.0</v>
      </c>
      <c r="E516" s="25">
        <f t="shared" si="89"/>
        <v>3</v>
      </c>
    </row>
    <row r="517" ht="15.75" customHeight="1">
      <c r="A517" s="62">
        <v>4040.0</v>
      </c>
      <c r="B517" s="98" t="s">
        <v>24</v>
      </c>
      <c r="C517" s="39"/>
      <c r="D517" s="22">
        <v>0.0</v>
      </c>
      <c r="E517" s="25">
        <f t="shared" si="89"/>
        <v>4</v>
      </c>
    </row>
    <row r="518" ht="15.75" customHeight="1">
      <c r="A518" s="62">
        <v>4042.0</v>
      </c>
      <c r="B518" s="98" t="s">
        <v>67</v>
      </c>
      <c r="C518" s="39"/>
      <c r="D518" s="22">
        <v>1000.0</v>
      </c>
      <c r="E518" s="25">
        <f t="shared" si="89"/>
        <v>5</v>
      </c>
    </row>
    <row r="519" ht="15.75" customHeight="1">
      <c r="A519" s="62">
        <v>4047.0</v>
      </c>
      <c r="B519" s="98" t="s">
        <v>14</v>
      </c>
      <c r="C519" s="39"/>
      <c r="D519" s="22">
        <v>0.0</v>
      </c>
      <c r="E519" s="25">
        <f t="shared" si="89"/>
        <v>6</v>
      </c>
    </row>
    <row r="520" ht="15.75" customHeight="1">
      <c r="A520" s="62">
        <v>4050.0</v>
      </c>
      <c r="B520" s="98" t="s">
        <v>42</v>
      </c>
      <c r="C520" s="39"/>
      <c r="D520" s="22">
        <f>sumif($A$514:$A$834,"=4190",D514:D826)*0.3</f>
        <v>6390</v>
      </c>
      <c r="E520" s="25">
        <f t="shared" si="89"/>
        <v>7</v>
      </c>
    </row>
    <row r="521" ht="15.75" customHeight="1">
      <c r="A521" s="62">
        <v>4060.0</v>
      </c>
      <c r="B521" s="98" t="s">
        <v>27</v>
      </c>
      <c r="C521" s="39"/>
      <c r="D521" s="22">
        <f>7*550+80*7</f>
        <v>4410</v>
      </c>
      <c r="E521" s="25">
        <f t="shared" si="89"/>
        <v>8</v>
      </c>
    </row>
    <row r="522" ht="15.75" customHeight="1">
      <c r="A522" s="62">
        <v>4063.0</v>
      </c>
      <c r="B522" s="98" t="s">
        <v>70</v>
      </c>
      <c r="C522" s="39"/>
      <c r="D522" s="22">
        <f>800</f>
        <v>800</v>
      </c>
      <c r="E522" s="25">
        <f t="shared" si="89"/>
        <v>9</v>
      </c>
    </row>
    <row r="523" ht="15.75" customHeight="1">
      <c r="A523" s="62">
        <v>4065.0</v>
      </c>
      <c r="B523" s="98" t="s">
        <v>16</v>
      </c>
      <c r="C523" s="39"/>
      <c r="D523" s="29">
        <v>500.0</v>
      </c>
      <c r="E523" s="25">
        <f t="shared" si="89"/>
        <v>10</v>
      </c>
    </row>
    <row r="524" ht="15.75" customHeight="1">
      <c r="A524" s="62">
        <v>4075.0</v>
      </c>
      <c r="B524" s="98" t="s">
        <v>43</v>
      </c>
      <c r="C524" s="39"/>
      <c r="D524" s="22">
        <v>0.0</v>
      </c>
      <c r="E524" s="25">
        <f t="shared" si="89"/>
        <v>11</v>
      </c>
    </row>
    <row r="525" ht="15.75" customHeight="1">
      <c r="A525" s="62">
        <v>4080.0</v>
      </c>
      <c r="B525" s="98" t="s">
        <v>31</v>
      </c>
      <c r="C525" s="39"/>
      <c r="D525" s="22">
        <v>4000.0</v>
      </c>
      <c r="E525" s="25">
        <f t="shared" si="89"/>
        <v>12</v>
      </c>
    </row>
    <row r="526" ht="15.75" customHeight="1">
      <c r="A526" s="62">
        <v>4081.0</v>
      </c>
      <c r="B526" s="103" t="s">
        <v>44</v>
      </c>
      <c r="C526" s="39"/>
      <c r="D526" s="22">
        <v>1000.0</v>
      </c>
      <c r="E526" s="25">
        <f t="shared" si="89"/>
        <v>13</v>
      </c>
    </row>
    <row r="527" ht="15.75" customHeight="1">
      <c r="A527" s="62">
        <v>4082.0</v>
      </c>
      <c r="B527" s="98" t="s">
        <v>45</v>
      </c>
      <c r="C527" s="39"/>
      <c r="D527" s="22">
        <f>400+6*200</f>
        <v>1600</v>
      </c>
      <c r="E527" s="25">
        <f t="shared" si="89"/>
        <v>14</v>
      </c>
    </row>
    <row r="528" ht="15.75" customHeight="1">
      <c r="A528" s="62">
        <v>4190.0</v>
      </c>
      <c r="B528" s="98" t="s">
        <v>32</v>
      </c>
      <c r="C528" s="39"/>
      <c r="D528" s="22">
        <f>1000+6*600+3*100</f>
        <v>4900</v>
      </c>
      <c r="E528" s="25">
        <f t="shared" si="89"/>
        <v>15</v>
      </c>
    </row>
    <row r="529" ht="15.75" customHeight="1">
      <c r="A529" s="62">
        <v>5050.0</v>
      </c>
      <c r="B529" s="98" t="s">
        <v>33</v>
      </c>
      <c r="C529" s="39"/>
      <c r="D529" s="22">
        <v>2500.0</v>
      </c>
      <c r="E529" s="25">
        <f t="shared" si="89"/>
        <v>16</v>
      </c>
    </row>
    <row r="530" ht="15.75" customHeight="1">
      <c r="A530" s="108">
        <v>6071.0</v>
      </c>
      <c r="B530" s="127" t="s">
        <v>36</v>
      </c>
      <c r="C530" s="39"/>
      <c r="D530" s="22">
        <f>6*4*200+6*70+6*150</f>
        <v>6120</v>
      </c>
      <c r="E530" s="25">
        <f t="shared" si="89"/>
        <v>17</v>
      </c>
    </row>
    <row r="531" ht="15.75" customHeight="1">
      <c r="A531" s="62">
        <v>6211.0</v>
      </c>
      <c r="B531" s="98" t="s">
        <v>73</v>
      </c>
      <c r="C531" s="39"/>
      <c r="D531" s="22">
        <v>0.0</v>
      </c>
      <c r="E531" s="25">
        <f t="shared" si="89"/>
        <v>18</v>
      </c>
    </row>
    <row r="532" ht="15.75" customHeight="1">
      <c r="A532" s="62"/>
      <c r="B532" s="106" t="s">
        <v>19</v>
      </c>
      <c r="C532" s="31">
        <f t="shared" ref="C532:D532" si="90">SUM(C514:C531)</f>
        <v>0</v>
      </c>
      <c r="D532" s="32">
        <f t="shared" si="90"/>
        <v>33220</v>
      </c>
      <c r="E532" s="40"/>
    </row>
    <row r="533" ht="15.75" customHeight="1">
      <c r="A533" s="101"/>
      <c r="B533" s="106" t="s">
        <v>20</v>
      </c>
      <c r="C533" s="39"/>
      <c r="D533" s="32">
        <f>C532-D532</f>
        <v>-33220</v>
      </c>
      <c r="E533" s="40"/>
    </row>
    <row r="534" ht="15.75" customHeight="1">
      <c r="A534" s="125">
        <v>142301.0</v>
      </c>
      <c r="B534" s="126" t="s">
        <v>171</v>
      </c>
      <c r="C534" s="35"/>
      <c r="D534" s="36"/>
      <c r="E534" s="37"/>
    </row>
    <row r="535" ht="15.75" hidden="1" customHeight="1">
      <c r="A535" s="62">
        <v>4040.0</v>
      </c>
      <c r="B535" s="98" t="s">
        <v>24</v>
      </c>
      <c r="C535" s="39"/>
      <c r="D535" s="22">
        <v>0.0</v>
      </c>
      <c r="E535" s="25"/>
    </row>
    <row r="536" ht="15.75" hidden="1" customHeight="1">
      <c r="A536" s="62">
        <v>4063.0</v>
      </c>
      <c r="B536" s="98" t="s">
        <v>70</v>
      </c>
      <c r="C536" s="39"/>
      <c r="D536" s="22"/>
      <c r="E536" s="25"/>
    </row>
    <row r="537" ht="15.75" hidden="1" customHeight="1">
      <c r="A537" s="62">
        <v>4076.0</v>
      </c>
      <c r="B537" s="98" t="s">
        <v>29</v>
      </c>
      <c r="C537" s="39"/>
      <c r="D537" s="22">
        <v>0.0</v>
      </c>
      <c r="E537" s="25"/>
    </row>
    <row r="538" ht="15.75" hidden="1" customHeight="1">
      <c r="A538" s="62">
        <v>4190.0</v>
      </c>
      <c r="B538" s="98" t="s">
        <v>32</v>
      </c>
      <c r="C538" s="39"/>
      <c r="D538" s="22"/>
      <c r="E538" s="25"/>
    </row>
    <row r="539" ht="15.75" hidden="1" customHeight="1">
      <c r="A539" s="62"/>
      <c r="B539" s="106" t="s">
        <v>19</v>
      </c>
      <c r="C539" s="39">
        <f>sum(C535:C538)</f>
        <v>0</v>
      </c>
      <c r="D539" s="32">
        <f>SUM(D535:D538)</f>
        <v>0</v>
      </c>
      <c r="E539" s="25"/>
    </row>
    <row r="540" ht="15.75" hidden="1" customHeight="1">
      <c r="A540" s="101"/>
      <c r="B540" s="106" t="s">
        <v>20</v>
      </c>
      <c r="C540" s="39"/>
      <c r="D540" s="32">
        <f>C539-D539</f>
        <v>0</v>
      </c>
      <c r="E540" s="40"/>
    </row>
    <row r="541" ht="15.75" customHeight="1">
      <c r="A541" s="128">
        <v>142302.0</v>
      </c>
      <c r="B541" s="129" t="s">
        <v>172</v>
      </c>
      <c r="C541" s="41"/>
      <c r="D541" s="42"/>
      <c r="E541" s="43"/>
    </row>
    <row r="542" ht="15.75" hidden="1" customHeight="1">
      <c r="A542" s="62">
        <v>3011.0</v>
      </c>
      <c r="B542" s="98" t="s">
        <v>22</v>
      </c>
      <c r="C542" s="39">
        <v>0.0</v>
      </c>
      <c r="D542" s="22"/>
      <c r="E542" s="25">
        <f>E531+1</f>
        <v>19</v>
      </c>
    </row>
    <row r="543" ht="15.75" hidden="1" customHeight="1">
      <c r="A543" s="62">
        <v>3030.0</v>
      </c>
      <c r="B543" s="98" t="s">
        <v>117</v>
      </c>
      <c r="C543" s="39">
        <v>0.0</v>
      </c>
      <c r="D543" s="22"/>
      <c r="E543" s="25">
        <f t="shared" ref="E543:E550" si="91">E542+1</f>
        <v>20</v>
      </c>
    </row>
    <row r="544" ht="15.75" hidden="1" customHeight="1">
      <c r="A544" s="62">
        <v>4012.0</v>
      </c>
      <c r="B544" s="98" t="s">
        <v>118</v>
      </c>
      <c r="C544" s="39"/>
      <c r="D544" s="22">
        <v>0.0</v>
      </c>
      <c r="E544" s="25">
        <f t="shared" si="91"/>
        <v>21</v>
      </c>
    </row>
    <row r="545" ht="15.75" hidden="1" customHeight="1">
      <c r="A545" s="62">
        <v>4013.0</v>
      </c>
      <c r="B545" s="98" t="s">
        <v>98</v>
      </c>
      <c r="C545" s="39"/>
      <c r="D545" s="22">
        <v>0.0</v>
      </c>
      <c r="E545" s="25">
        <f t="shared" si="91"/>
        <v>22</v>
      </c>
    </row>
    <row r="546" ht="15.75" hidden="1" customHeight="1">
      <c r="A546" s="62">
        <v>4047.0</v>
      </c>
      <c r="B546" s="98" t="s">
        <v>14</v>
      </c>
      <c r="C546" s="39"/>
      <c r="D546" s="22">
        <v>0.0</v>
      </c>
      <c r="E546" s="25">
        <f t="shared" si="91"/>
        <v>23</v>
      </c>
    </row>
    <row r="547" ht="15.75" hidden="1" customHeight="1">
      <c r="A547" s="62">
        <v>4076.0</v>
      </c>
      <c r="B547" s="98" t="s">
        <v>29</v>
      </c>
      <c r="C547" s="39"/>
      <c r="D547" s="22">
        <v>0.0</v>
      </c>
      <c r="E547" s="25">
        <f t="shared" si="91"/>
        <v>24</v>
      </c>
    </row>
    <row r="548" ht="15.75" hidden="1" customHeight="1">
      <c r="A548" s="62">
        <v>4078.0</v>
      </c>
      <c r="B548" s="98" t="s">
        <v>30</v>
      </c>
      <c r="C548" s="39"/>
      <c r="D548" s="22">
        <v>0.0</v>
      </c>
      <c r="E548" s="25">
        <f t="shared" si="91"/>
        <v>25</v>
      </c>
    </row>
    <row r="549" ht="15.75" hidden="1" customHeight="1">
      <c r="A549" s="62">
        <v>6800.0</v>
      </c>
      <c r="B549" s="98" t="s">
        <v>114</v>
      </c>
      <c r="C549" s="39"/>
      <c r="D549" s="22">
        <v>0.0</v>
      </c>
      <c r="E549" s="25">
        <f t="shared" si="91"/>
        <v>26</v>
      </c>
    </row>
    <row r="550" ht="15.75" hidden="1" customHeight="1">
      <c r="A550" s="62">
        <v>6993.0</v>
      </c>
      <c r="B550" s="105" t="s">
        <v>115</v>
      </c>
      <c r="C550" s="39"/>
      <c r="D550" s="22">
        <v>0.0</v>
      </c>
      <c r="E550" s="25">
        <f t="shared" si="91"/>
        <v>27</v>
      </c>
    </row>
    <row r="551" ht="15.75" hidden="1" customHeight="1">
      <c r="A551" s="62"/>
      <c r="B551" s="106" t="s">
        <v>19</v>
      </c>
      <c r="C551" s="31">
        <f t="shared" ref="C551:D551" si="92">SUM(C542:C550)</f>
        <v>0</v>
      </c>
      <c r="D551" s="32">
        <f t="shared" si="92"/>
        <v>0</v>
      </c>
      <c r="E551" s="25"/>
    </row>
    <row r="552" ht="15.75" hidden="1" customHeight="1">
      <c r="A552" s="101"/>
      <c r="B552" s="106" t="s">
        <v>20</v>
      </c>
      <c r="C552" s="39"/>
      <c r="D552" s="32">
        <f>C551-D551</f>
        <v>0</v>
      </c>
      <c r="E552" s="40"/>
    </row>
    <row r="553" ht="15.75" customHeight="1">
      <c r="A553" s="125">
        <v>142303.0</v>
      </c>
      <c r="B553" s="126" t="s">
        <v>173</v>
      </c>
      <c r="C553" s="35"/>
      <c r="D553" s="36"/>
      <c r="E553" s="37"/>
    </row>
    <row r="554" ht="15.75" hidden="1" customHeight="1">
      <c r="A554" s="130">
        <v>3011.0</v>
      </c>
      <c r="B554" s="131" t="s">
        <v>22</v>
      </c>
      <c r="C554" s="35">
        <v>0.0</v>
      </c>
      <c r="D554" s="36"/>
      <c r="E554" s="37"/>
    </row>
    <row r="555" ht="15.75" hidden="1" customHeight="1">
      <c r="A555" s="10">
        <v>5810.0</v>
      </c>
      <c r="B555" s="11" t="s">
        <v>34</v>
      </c>
      <c r="C555" s="35"/>
      <c r="D555" s="50">
        <v>0.0</v>
      </c>
      <c r="E555" s="37"/>
    </row>
    <row r="556" ht="15.75" hidden="1" customHeight="1">
      <c r="A556" s="10"/>
      <c r="B556" s="58" t="s">
        <v>19</v>
      </c>
      <c r="C556" s="35">
        <f t="shared" ref="C556:D556" si="93">SUM(C554:C555)</f>
        <v>0</v>
      </c>
      <c r="D556" s="50">
        <f t="shared" si="93"/>
        <v>0</v>
      </c>
      <c r="E556" s="37"/>
    </row>
    <row r="557" ht="15.75" hidden="1" customHeight="1">
      <c r="A557" s="10"/>
      <c r="B557" s="58" t="s">
        <v>20</v>
      </c>
      <c r="C557" s="35"/>
      <c r="D557" s="13">
        <v>0.0</v>
      </c>
      <c r="E557" s="37"/>
    </row>
    <row r="558" ht="15.75" customHeight="1">
      <c r="A558" s="125">
        <v>142304.0</v>
      </c>
      <c r="B558" s="132" t="s">
        <v>174</v>
      </c>
      <c r="C558" s="35"/>
      <c r="D558" s="36"/>
      <c r="E558" s="37"/>
    </row>
    <row r="559" ht="15.75" customHeight="1">
      <c r="A559" s="62">
        <v>3011.0</v>
      </c>
      <c r="B559" s="98" t="s">
        <v>22</v>
      </c>
      <c r="C559" s="68">
        <v>0.0</v>
      </c>
      <c r="D559" s="22"/>
      <c r="E559" s="25">
        <f>E531+1</f>
        <v>19</v>
      </c>
    </row>
    <row r="560" ht="15.75" customHeight="1">
      <c r="A560" s="108">
        <v>3120.0</v>
      </c>
      <c r="B560" s="127" t="s">
        <v>8</v>
      </c>
      <c r="C560" s="68">
        <v>30000.0</v>
      </c>
      <c r="D560" s="22"/>
      <c r="E560" s="25">
        <f t="shared" ref="E560:E566" si="94">E559+1</f>
        <v>20</v>
      </c>
    </row>
    <row r="561" ht="15.75" customHeight="1">
      <c r="A561" s="62">
        <v>4010.0</v>
      </c>
      <c r="B561" s="98" t="s">
        <v>48</v>
      </c>
      <c r="C561" s="39"/>
      <c r="D561" s="22">
        <v>0.0</v>
      </c>
      <c r="E561" s="25">
        <f t="shared" si="94"/>
        <v>21</v>
      </c>
    </row>
    <row r="562" ht="15.75" customHeight="1">
      <c r="A562" s="62">
        <v>4047.0</v>
      </c>
      <c r="B562" s="98" t="s">
        <v>14</v>
      </c>
      <c r="C562" s="39"/>
      <c r="D562" s="29">
        <f>8500+30000</f>
        <v>38500</v>
      </c>
      <c r="E562" s="25">
        <f t="shared" si="94"/>
        <v>22</v>
      </c>
    </row>
    <row r="563" ht="15.75" customHeight="1">
      <c r="A563" s="62">
        <v>4060.0</v>
      </c>
      <c r="B563" s="98" t="s">
        <v>27</v>
      </c>
      <c r="C563" s="39"/>
      <c r="D563" s="22">
        <f>6*200</f>
        <v>1200</v>
      </c>
      <c r="E563" s="25">
        <f t="shared" si="94"/>
        <v>23</v>
      </c>
    </row>
    <row r="564" ht="15.75" customHeight="1">
      <c r="A564" s="62">
        <v>4076.0</v>
      </c>
      <c r="B564" s="98" t="s">
        <v>29</v>
      </c>
      <c r="C564" s="39"/>
      <c r="D564" s="29">
        <v>9000.0</v>
      </c>
      <c r="E564" s="25">
        <f t="shared" si="94"/>
        <v>24</v>
      </c>
    </row>
    <row r="565" ht="15.75" customHeight="1">
      <c r="A565" s="62">
        <v>4082.0</v>
      </c>
      <c r="B565" s="98" t="s">
        <v>45</v>
      </c>
      <c r="C565" s="39"/>
      <c r="D565" s="22">
        <f>6*100</f>
        <v>600</v>
      </c>
      <c r="E565" s="25">
        <f t="shared" si="94"/>
        <v>25</v>
      </c>
    </row>
    <row r="566" ht="15.75" customHeight="1">
      <c r="A566" s="62">
        <v>4190.0</v>
      </c>
      <c r="B566" s="98" t="s">
        <v>32</v>
      </c>
      <c r="C566" s="39"/>
      <c r="D566" s="22">
        <f>6*300+100*48</f>
        <v>6600</v>
      </c>
      <c r="E566" s="25">
        <f t="shared" si="94"/>
        <v>26</v>
      </c>
    </row>
    <row r="567" ht="15.75" customHeight="1">
      <c r="A567" s="62"/>
      <c r="B567" s="106" t="s">
        <v>19</v>
      </c>
      <c r="C567" s="31">
        <f t="shared" ref="C567:D567" si="95">SUM(C559:C566)</f>
        <v>30000</v>
      </c>
      <c r="D567" s="32">
        <f t="shared" si="95"/>
        <v>55900</v>
      </c>
      <c r="E567" s="25"/>
    </row>
    <row r="568" ht="15.75" customHeight="1">
      <c r="A568" s="101"/>
      <c r="B568" s="106" t="s">
        <v>20</v>
      </c>
      <c r="C568" s="39"/>
      <c r="D568" s="32">
        <f>C567-D567</f>
        <v>-25900</v>
      </c>
      <c r="E568" s="40"/>
    </row>
    <row r="569" ht="15.75" customHeight="1">
      <c r="A569" s="133" t="s">
        <v>156</v>
      </c>
      <c r="B569" s="126" t="s">
        <v>175</v>
      </c>
      <c r="C569" s="35"/>
      <c r="D569" s="36"/>
      <c r="E569" s="37"/>
    </row>
    <row r="570" ht="15.75" customHeight="1">
      <c r="A570" s="10"/>
      <c r="B570" s="134" t="s">
        <v>176</v>
      </c>
      <c r="C570" s="35"/>
      <c r="D570" s="36"/>
      <c r="E570" s="37"/>
    </row>
    <row r="571" ht="15.75" customHeight="1">
      <c r="A571" s="10">
        <v>3011.0</v>
      </c>
      <c r="B571" s="11" t="s">
        <v>22</v>
      </c>
      <c r="C571" s="35">
        <v>0.0</v>
      </c>
      <c r="D571" s="36"/>
      <c r="E571" s="37"/>
    </row>
    <row r="572" ht="15.75" customHeight="1">
      <c r="A572" s="10">
        <v>5810.0</v>
      </c>
      <c r="B572" s="11" t="s">
        <v>34</v>
      </c>
      <c r="C572" s="35"/>
      <c r="D572" s="50">
        <v>0.0</v>
      </c>
      <c r="E572" s="37"/>
    </row>
    <row r="573" ht="15.75" customHeight="1">
      <c r="A573" s="10">
        <v>5830.0</v>
      </c>
      <c r="B573" s="11" t="s">
        <v>177</v>
      </c>
      <c r="C573" s="35"/>
      <c r="D573" s="50">
        <v>0.0</v>
      </c>
      <c r="E573" s="37"/>
    </row>
    <row r="574" ht="15.75" customHeight="1">
      <c r="A574" s="10">
        <v>5830.0</v>
      </c>
      <c r="B574" s="11" t="s">
        <v>177</v>
      </c>
      <c r="C574" s="35"/>
      <c r="D574" s="50">
        <v>0.0</v>
      </c>
      <c r="E574" s="37"/>
    </row>
    <row r="575" ht="15.75" customHeight="1">
      <c r="A575" s="10"/>
      <c r="B575" s="58" t="s">
        <v>19</v>
      </c>
      <c r="C575" s="12">
        <f>SUM(C571:C574)</f>
        <v>0</v>
      </c>
      <c r="D575" s="13">
        <f>SUM(D570:D574)</f>
        <v>0</v>
      </c>
      <c r="E575" s="37"/>
    </row>
    <row r="576" ht="15.75" customHeight="1">
      <c r="A576" s="10"/>
      <c r="B576" s="58" t="s">
        <v>20</v>
      </c>
      <c r="C576" s="35"/>
      <c r="D576" s="13">
        <f>C575-D575</f>
        <v>0</v>
      </c>
      <c r="E576" s="37"/>
    </row>
    <row r="577" ht="15.75" customHeight="1">
      <c r="A577" s="125">
        <v>142306.0</v>
      </c>
      <c r="B577" s="126" t="s">
        <v>178</v>
      </c>
      <c r="C577" s="35"/>
      <c r="D577" s="36"/>
      <c r="E577" s="37"/>
    </row>
    <row r="578" ht="15.75" hidden="1" customHeight="1">
      <c r="A578" s="62">
        <v>3011.0</v>
      </c>
      <c r="B578" s="98" t="s">
        <v>22</v>
      </c>
      <c r="C578" s="39">
        <v>0.0</v>
      </c>
      <c r="D578" s="22"/>
      <c r="E578" s="25">
        <f>E566+1</f>
        <v>27</v>
      </c>
    </row>
    <row r="579" ht="15.75" hidden="1" customHeight="1">
      <c r="A579" s="62">
        <v>3030.0</v>
      </c>
      <c r="B579" s="98" t="s">
        <v>117</v>
      </c>
      <c r="C579" s="39">
        <v>0.0</v>
      </c>
      <c r="D579" s="22"/>
      <c r="E579" s="25">
        <f t="shared" ref="E579:E585" si="96">E578+1</f>
        <v>28</v>
      </c>
    </row>
    <row r="580" ht="15.75" hidden="1" customHeight="1">
      <c r="A580" s="62">
        <v>4010.0</v>
      </c>
      <c r="B580" s="98" t="s">
        <v>48</v>
      </c>
      <c r="C580" s="39"/>
      <c r="D580" s="22">
        <v>0.0</v>
      </c>
      <c r="E580" s="25">
        <f t="shared" si="96"/>
        <v>29</v>
      </c>
    </row>
    <row r="581" ht="15.75" hidden="1" customHeight="1">
      <c r="A581" s="62">
        <v>4012.0</v>
      </c>
      <c r="B581" s="98" t="s">
        <v>118</v>
      </c>
      <c r="C581" s="39"/>
      <c r="D581" s="22">
        <v>0.0</v>
      </c>
      <c r="E581" s="25">
        <f t="shared" si="96"/>
        <v>30</v>
      </c>
    </row>
    <row r="582" ht="15.75" hidden="1" customHeight="1">
      <c r="A582" s="62">
        <v>4013.0</v>
      </c>
      <c r="B582" s="98" t="s">
        <v>98</v>
      </c>
      <c r="C582" s="39"/>
      <c r="D582" s="22">
        <v>0.0</v>
      </c>
      <c r="E582" s="25">
        <f t="shared" si="96"/>
        <v>31</v>
      </c>
    </row>
    <row r="583" ht="15.75" hidden="1" customHeight="1">
      <c r="A583" s="62">
        <v>4047.0</v>
      </c>
      <c r="B583" s="98" t="s">
        <v>14</v>
      </c>
      <c r="C583" s="39"/>
      <c r="D583" s="22">
        <v>0.0</v>
      </c>
      <c r="E583" s="25">
        <f t="shared" si="96"/>
        <v>32</v>
      </c>
    </row>
    <row r="584" ht="15.75" hidden="1" customHeight="1">
      <c r="A584" s="62">
        <v>4078.0</v>
      </c>
      <c r="B584" s="98" t="s">
        <v>30</v>
      </c>
      <c r="C584" s="39"/>
      <c r="D584" s="22">
        <v>0.0</v>
      </c>
      <c r="E584" s="25">
        <f t="shared" si="96"/>
        <v>33</v>
      </c>
    </row>
    <row r="585" ht="15.75" hidden="1" customHeight="1">
      <c r="A585" s="62">
        <v>6800.0</v>
      </c>
      <c r="B585" s="98" t="s">
        <v>114</v>
      </c>
      <c r="C585" s="39"/>
      <c r="D585" s="22">
        <v>0.0</v>
      </c>
      <c r="E585" s="25">
        <f t="shared" si="96"/>
        <v>34</v>
      </c>
    </row>
    <row r="586" ht="15.75" hidden="1" customHeight="1">
      <c r="A586" s="62">
        <v>6993.0</v>
      </c>
      <c r="B586" s="100" t="s">
        <v>115</v>
      </c>
      <c r="C586" s="39"/>
      <c r="D586" s="22">
        <v>0.0</v>
      </c>
      <c r="E586" s="25"/>
    </row>
    <row r="587" ht="15.75" hidden="1" customHeight="1">
      <c r="A587" s="62"/>
      <c r="B587" s="106" t="s">
        <v>19</v>
      </c>
      <c r="C587" s="31">
        <f>SUM(C578:C585)</f>
        <v>0</v>
      </c>
      <c r="D587" s="32">
        <f>sum(D578:D585)</f>
        <v>0</v>
      </c>
      <c r="E587" s="25"/>
    </row>
    <row r="588" ht="15.75" hidden="1" customHeight="1">
      <c r="A588" s="62"/>
      <c r="B588" s="135" t="s">
        <v>20</v>
      </c>
      <c r="C588" s="39"/>
      <c r="D588" s="32">
        <f>C587-D587</f>
        <v>0</v>
      </c>
      <c r="E588" s="25"/>
    </row>
    <row r="589" ht="15.75" customHeight="1">
      <c r="A589" s="125">
        <v>142307.0</v>
      </c>
      <c r="B589" s="126" t="s">
        <v>179</v>
      </c>
      <c r="C589" s="35"/>
      <c r="D589" s="36"/>
      <c r="E589" s="37"/>
    </row>
    <row r="590" ht="15.75" customHeight="1">
      <c r="A590" s="62">
        <v>3011.0</v>
      </c>
      <c r="B590" s="98" t="s">
        <v>22</v>
      </c>
      <c r="C590" s="39">
        <f>100*200</f>
        <v>20000</v>
      </c>
      <c r="D590" s="22"/>
      <c r="E590" s="25">
        <f>E566+1</f>
        <v>27</v>
      </c>
    </row>
    <row r="591" ht="15.75" customHeight="1">
      <c r="A591" s="62">
        <v>3030.0</v>
      </c>
      <c r="B591" s="98" t="s">
        <v>117</v>
      </c>
      <c r="C591" s="68">
        <f>8500*1.13
</f>
        <v>9605</v>
      </c>
      <c r="D591" s="22"/>
      <c r="E591" s="25">
        <f t="shared" ref="E591:E599" si="97">E590+1</f>
        <v>28</v>
      </c>
    </row>
    <row r="592" ht="15.75" customHeight="1">
      <c r="A592" s="62">
        <v>4012.0</v>
      </c>
      <c r="B592" s="98" t="s">
        <v>118</v>
      </c>
      <c r="C592" s="39"/>
      <c r="D592" s="22">
        <f>C591/1.9</f>
        <v>5055.263158</v>
      </c>
      <c r="E592" s="25">
        <f t="shared" si="97"/>
        <v>29</v>
      </c>
    </row>
    <row r="593" ht="15.75" customHeight="1">
      <c r="A593" s="62">
        <v>4013.0</v>
      </c>
      <c r="B593" s="98" t="s">
        <v>98</v>
      </c>
      <c r="C593" s="39"/>
      <c r="D593" s="22">
        <f>20*100+40</f>
        <v>2040</v>
      </c>
      <c r="E593" s="25">
        <f t="shared" si="97"/>
        <v>30</v>
      </c>
    </row>
    <row r="594" ht="15.75" customHeight="1">
      <c r="A594" s="62">
        <v>4047.0</v>
      </c>
      <c r="B594" s="98" t="s">
        <v>14</v>
      </c>
      <c r="C594" s="39"/>
      <c r="D594" s="22">
        <f>2000</f>
        <v>2000</v>
      </c>
      <c r="E594" s="25">
        <f t="shared" si="97"/>
        <v>31</v>
      </c>
    </row>
    <row r="595" ht="15.75" customHeight="1">
      <c r="A595" s="108">
        <v>4060.0</v>
      </c>
      <c r="B595" s="127" t="s">
        <v>27</v>
      </c>
      <c r="C595" s="39"/>
      <c r="D595" s="22">
        <f>200*6</f>
        <v>1200</v>
      </c>
      <c r="E595" s="25">
        <f t="shared" si="97"/>
        <v>32</v>
      </c>
    </row>
    <row r="596" ht="15.75" customHeight="1">
      <c r="A596" s="62">
        <v>4076.0</v>
      </c>
      <c r="B596" s="98" t="s">
        <v>29</v>
      </c>
      <c r="C596" s="39"/>
      <c r="D596" s="22">
        <f>100*120</f>
        <v>12000</v>
      </c>
      <c r="E596" s="25">
        <f t="shared" si="97"/>
        <v>33</v>
      </c>
    </row>
    <row r="597" ht="15.75" customHeight="1">
      <c r="A597" s="62">
        <v>4078.0</v>
      </c>
      <c r="B597" s="98" t="s">
        <v>30</v>
      </c>
      <c r="C597" s="39"/>
      <c r="D597" s="22">
        <v>2000.0</v>
      </c>
      <c r="E597" s="25">
        <f t="shared" si="97"/>
        <v>34</v>
      </c>
    </row>
    <row r="598" ht="15.75" customHeight="1">
      <c r="A598" s="108">
        <v>4082.0</v>
      </c>
      <c r="B598" s="127" t="s">
        <v>45</v>
      </c>
      <c r="C598" s="39"/>
      <c r="D598" s="22">
        <f>100*6</f>
        <v>600</v>
      </c>
      <c r="E598" s="25">
        <f t="shared" si="97"/>
        <v>35</v>
      </c>
    </row>
    <row r="599" ht="15.75" customHeight="1">
      <c r="A599" s="108">
        <v>4190.0</v>
      </c>
      <c r="B599" s="127" t="s">
        <v>32</v>
      </c>
      <c r="C599" s="39"/>
      <c r="D599" s="22">
        <f>200*6</f>
        <v>1200</v>
      </c>
      <c r="E599" s="25">
        <f t="shared" si="97"/>
        <v>36</v>
      </c>
    </row>
    <row r="600" ht="15.75" customHeight="1">
      <c r="A600" s="62">
        <v>6800.0</v>
      </c>
      <c r="B600" s="98" t="s">
        <v>114</v>
      </c>
      <c r="C600" s="39"/>
      <c r="D600" s="22">
        <f>547.5*2*2.5</f>
        <v>2737.5</v>
      </c>
      <c r="E600" s="25">
        <v>34.0</v>
      </c>
    </row>
    <row r="601" ht="15.75" customHeight="1">
      <c r="A601" s="62">
        <v>6993.0</v>
      </c>
      <c r="B601" s="105" t="s">
        <v>115</v>
      </c>
      <c r="C601" s="39"/>
      <c r="D601" s="22">
        <f>100*12.5</f>
        <v>1250</v>
      </c>
      <c r="E601" s="25">
        <f>E600+1</f>
        <v>35</v>
      </c>
    </row>
    <row r="602" ht="15.75" customHeight="1">
      <c r="A602" s="62"/>
      <c r="B602" s="106" t="s">
        <v>19</v>
      </c>
      <c r="C602" s="31">
        <f t="shared" ref="C602:D602" si="98">SUM(C590:C601)</f>
        <v>29605</v>
      </c>
      <c r="D602" s="32">
        <f t="shared" si="98"/>
        <v>30082.76316</v>
      </c>
      <c r="E602" s="25"/>
    </row>
    <row r="603" ht="15.75" customHeight="1">
      <c r="A603" s="62"/>
      <c r="B603" s="106" t="s">
        <v>20</v>
      </c>
      <c r="C603" s="39"/>
      <c r="D603" s="32">
        <f>C602-D602</f>
        <v>-477.7631579</v>
      </c>
      <c r="E603" s="25"/>
    </row>
    <row r="604" ht="15.75" customHeight="1">
      <c r="A604" s="125">
        <v>142308.0</v>
      </c>
      <c r="B604" s="126" t="s">
        <v>180</v>
      </c>
      <c r="C604" s="35"/>
      <c r="D604" s="36"/>
      <c r="E604" s="37"/>
    </row>
    <row r="605" ht="15.75" hidden="1" customHeight="1">
      <c r="A605" s="99">
        <v>3010.0</v>
      </c>
      <c r="B605" s="98" t="s">
        <v>2</v>
      </c>
      <c r="C605" s="39">
        <v>0.0</v>
      </c>
      <c r="D605" s="22"/>
      <c r="E605" s="25">
        <f>E601+1</f>
        <v>36</v>
      </c>
    </row>
    <row r="606" ht="15.75" hidden="1" customHeight="1">
      <c r="A606" s="99">
        <v>3023.0</v>
      </c>
      <c r="B606" s="98" t="s">
        <v>76</v>
      </c>
      <c r="C606" s="39">
        <v>0.0</v>
      </c>
      <c r="D606" s="22"/>
      <c r="E606" s="25">
        <f t="shared" ref="E606:E620" si="99">E605+1</f>
        <v>37</v>
      </c>
    </row>
    <row r="607" ht="15.75" hidden="1" customHeight="1">
      <c r="A607" s="99">
        <v>3110.0</v>
      </c>
      <c r="B607" s="98" t="s">
        <v>111</v>
      </c>
      <c r="C607" s="39">
        <v>0.0</v>
      </c>
      <c r="D607" s="22"/>
      <c r="E607" s="25">
        <f t="shared" si="99"/>
        <v>38</v>
      </c>
    </row>
    <row r="608" ht="15.75" hidden="1" customHeight="1">
      <c r="A608" s="99">
        <v>3120.0</v>
      </c>
      <c r="B608" s="98" t="s">
        <v>8</v>
      </c>
      <c r="C608" s="39">
        <v>0.0</v>
      </c>
      <c r="D608" s="22"/>
      <c r="E608" s="25">
        <f t="shared" si="99"/>
        <v>39</v>
      </c>
    </row>
    <row r="609" ht="15.75" hidden="1" customHeight="1">
      <c r="A609" s="99">
        <v>4010.0</v>
      </c>
      <c r="B609" s="98" t="s">
        <v>48</v>
      </c>
      <c r="C609" s="39"/>
      <c r="D609" s="22">
        <v>0.0</v>
      </c>
      <c r="E609" s="25">
        <f t="shared" si="99"/>
        <v>40</v>
      </c>
    </row>
    <row r="610" ht="15.75" hidden="1" customHeight="1">
      <c r="A610" s="123">
        <v>4013.0</v>
      </c>
      <c r="B610" s="98" t="s">
        <v>98</v>
      </c>
      <c r="C610" s="39"/>
      <c r="D610" s="22">
        <v>0.0</v>
      </c>
      <c r="E610" s="25">
        <f t="shared" si="99"/>
        <v>41</v>
      </c>
    </row>
    <row r="611" ht="15.75" hidden="1" customHeight="1">
      <c r="A611" s="99">
        <v>4040.0</v>
      </c>
      <c r="B611" s="63" t="s">
        <v>24</v>
      </c>
      <c r="C611" s="39"/>
      <c r="D611" s="22">
        <v>0.0</v>
      </c>
      <c r="E611" s="25">
        <f t="shared" si="99"/>
        <v>42</v>
      </c>
    </row>
    <row r="612" ht="15.75" hidden="1" customHeight="1">
      <c r="A612" s="99">
        <v>4060.0</v>
      </c>
      <c r="B612" s="98" t="s">
        <v>27</v>
      </c>
      <c r="C612" s="39"/>
      <c r="D612" s="29">
        <v>0.0</v>
      </c>
      <c r="E612" s="25">
        <f t="shared" si="99"/>
        <v>43</v>
      </c>
    </row>
    <row r="613" ht="15.75" hidden="1" customHeight="1">
      <c r="A613" s="99">
        <v>4063.0</v>
      </c>
      <c r="B613" s="98" t="s">
        <v>70</v>
      </c>
      <c r="C613" s="39"/>
      <c r="D613" s="22">
        <v>0.0</v>
      </c>
      <c r="E613" s="25">
        <f t="shared" si="99"/>
        <v>44</v>
      </c>
    </row>
    <row r="614" ht="15.75" hidden="1" customHeight="1">
      <c r="A614" s="99">
        <v>4069.0</v>
      </c>
      <c r="B614" s="98" t="s">
        <v>181</v>
      </c>
      <c r="C614" s="39"/>
      <c r="D614" s="22">
        <v>0.0</v>
      </c>
      <c r="E614" s="25">
        <f t="shared" si="99"/>
        <v>45</v>
      </c>
    </row>
    <row r="615" ht="15.75" hidden="1" customHeight="1">
      <c r="A615" s="99">
        <v>4076.0</v>
      </c>
      <c r="B615" s="98" t="s">
        <v>29</v>
      </c>
      <c r="C615" s="39"/>
      <c r="D615" s="29">
        <v>0.0</v>
      </c>
      <c r="E615" s="25">
        <f t="shared" si="99"/>
        <v>46</v>
      </c>
    </row>
    <row r="616" ht="15.75" hidden="1" customHeight="1">
      <c r="A616" s="99">
        <v>4082.0</v>
      </c>
      <c r="B616" s="98" t="s">
        <v>45</v>
      </c>
      <c r="C616" s="39"/>
      <c r="D616" s="29">
        <v>0.0</v>
      </c>
      <c r="E616" s="25">
        <f t="shared" si="99"/>
        <v>47</v>
      </c>
    </row>
    <row r="617" ht="15.75" hidden="1" customHeight="1">
      <c r="A617" s="99">
        <v>4190.0</v>
      </c>
      <c r="B617" s="98" t="s">
        <v>32</v>
      </c>
      <c r="C617" s="39"/>
      <c r="D617" s="29">
        <v>0.0</v>
      </c>
      <c r="E617" s="25">
        <f t="shared" si="99"/>
        <v>48</v>
      </c>
    </row>
    <row r="618" ht="15.75" hidden="1" customHeight="1">
      <c r="A618" s="123">
        <v>6074.0</v>
      </c>
      <c r="B618" s="98" t="s">
        <v>38</v>
      </c>
      <c r="C618" s="39"/>
      <c r="D618" s="22">
        <v>0.0</v>
      </c>
      <c r="E618" s="25">
        <f t="shared" si="99"/>
        <v>49</v>
      </c>
    </row>
    <row r="619" ht="15.75" hidden="1" customHeight="1">
      <c r="A619" s="123">
        <v>6211.0</v>
      </c>
      <c r="B619" s="98" t="s">
        <v>73</v>
      </c>
      <c r="C619" s="39"/>
      <c r="D619" s="22">
        <v>0.0</v>
      </c>
      <c r="E619" s="25">
        <f t="shared" si="99"/>
        <v>50</v>
      </c>
    </row>
    <row r="620" ht="15.75" hidden="1" customHeight="1">
      <c r="A620" s="99">
        <v>6991.0</v>
      </c>
      <c r="B620" s="127" t="s">
        <v>76</v>
      </c>
      <c r="C620" s="39"/>
      <c r="D620" s="22">
        <v>0.0</v>
      </c>
      <c r="E620" s="25">
        <f t="shared" si="99"/>
        <v>51</v>
      </c>
    </row>
    <row r="621" ht="15.75" hidden="1" customHeight="1">
      <c r="A621" s="101"/>
      <c r="B621" s="106" t="s">
        <v>19</v>
      </c>
      <c r="C621" s="31">
        <f t="shared" ref="C621:D621" si="100">SUM(C605:C620)</f>
        <v>0</v>
      </c>
      <c r="D621" s="32">
        <f t="shared" si="100"/>
        <v>0</v>
      </c>
      <c r="E621" s="40"/>
    </row>
    <row r="622" ht="15.75" hidden="1" customHeight="1">
      <c r="A622" s="101"/>
      <c r="B622" s="136" t="s">
        <v>20</v>
      </c>
      <c r="C622" s="39"/>
      <c r="D622" s="32">
        <f>C621-D621</f>
        <v>0</v>
      </c>
      <c r="E622" s="40"/>
    </row>
    <row r="623" ht="15.75" customHeight="1">
      <c r="A623" s="125">
        <v>142309.0</v>
      </c>
      <c r="B623" s="126" t="s">
        <v>182</v>
      </c>
      <c r="C623" s="35"/>
      <c r="D623" s="36"/>
      <c r="E623" s="37"/>
    </row>
    <row r="624" ht="15.75" hidden="1" customHeight="1">
      <c r="A624" s="10">
        <v>3010.0</v>
      </c>
      <c r="B624" s="11" t="s">
        <v>2</v>
      </c>
      <c r="C624" s="35">
        <v>0.0</v>
      </c>
      <c r="D624" s="36"/>
      <c r="E624" s="37"/>
    </row>
    <row r="625" ht="15.75" hidden="1" customHeight="1">
      <c r="A625" s="10">
        <v>4063.0</v>
      </c>
      <c r="B625" s="11" t="s">
        <v>70</v>
      </c>
      <c r="C625" s="35"/>
      <c r="D625" s="50">
        <v>0.0</v>
      </c>
      <c r="E625" s="37"/>
    </row>
    <row r="626" ht="15.75" hidden="1" customHeight="1">
      <c r="A626" s="10">
        <v>5710.0</v>
      </c>
      <c r="B626" s="11" t="s">
        <v>143</v>
      </c>
      <c r="C626" s="35"/>
      <c r="D626" s="50">
        <v>0.0</v>
      </c>
      <c r="E626" s="37"/>
    </row>
    <row r="627" ht="15.75" hidden="1" customHeight="1">
      <c r="A627" s="10">
        <v>5810.0</v>
      </c>
      <c r="B627" s="11" t="s">
        <v>34</v>
      </c>
      <c r="C627" s="35"/>
      <c r="D627" s="50">
        <v>0.0</v>
      </c>
      <c r="E627" s="37"/>
    </row>
    <row r="628" ht="15.75" hidden="1" customHeight="1">
      <c r="A628" s="10">
        <v>5830.0</v>
      </c>
      <c r="B628" s="11" t="s">
        <v>177</v>
      </c>
      <c r="C628" s="35"/>
      <c r="D628" s="50">
        <v>0.0</v>
      </c>
      <c r="E628" s="37"/>
    </row>
    <row r="629" ht="15.75" hidden="1" customHeight="1">
      <c r="A629" s="10">
        <v>6991.0</v>
      </c>
      <c r="B629" s="11" t="s">
        <v>183</v>
      </c>
      <c r="C629" s="35"/>
      <c r="D629" s="50">
        <v>0.0</v>
      </c>
      <c r="E629" s="37"/>
    </row>
    <row r="630" ht="15.75" hidden="1" customHeight="1">
      <c r="A630" s="10">
        <v>7320.0</v>
      </c>
      <c r="B630" s="11" t="s">
        <v>184</v>
      </c>
      <c r="C630" s="35"/>
      <c r="D630" s="50">
        <v>0.0</v>
      </c>
      <c r="E630" s="37"/>
    </row>
    <row r="631" ht="15.75" hidden="1" customHeight="1">
      <c r="A631" s="10"/>
      <c r="B631" s="58" t="s">
        <v>19</v>
      </c>
      <c r="C631" s="35">
        <f t="shared" ref="C631:D631" si="101">SUM(C624:C630)</f>
        <v>0</v>
      </c>
      <c r="D631" s="50">
        <f t="shared" si="101"/>
        <v>0</v>
      </c>
      <c r="E631" s="37"/>
    </row>
    <row r="632" ht="15.75" hidden="1" customHeight="1">
      <c r="A632" s="10"/>
      <c r="B632" s="126" t="s">
        <v>20</v>
      </c>
      <c r="C632" s="35"/>
      <c r="D632" s="13">
        <f>C631-D631</f>
        <v>0</v>
      </c>
      <c r="E632" s="37"/>
    </row>
    <row r="633" ht="15.75" customHeight="1">
      <c r="A633" s="97">
        <v>142310.0</v>
      </c>
      <c r="B633" s="58" t="s">
        <v>185</v>
      </c>
      <c r="C633" s="35"/>
      <c r="D633" s="36"/>
      <c r="E633" s="37"/>
    </row>
    <row r="634" ht="15.75" customHeight="1">
      <c r="A634" s="99">
        <v>3120.0</v>
      </c>
      <c r="B634" s="100" t="s">
        <v>8</v>
      </c>
      <c r="C634" s="39">
        <v>41000.0</v>
      </c>
      <c r="D634" s="22"/>
      <c r="E634" s="25">
        <f>E620+1</f>
        <v>52</v>
      </c>
    </row>
    <row r="635" ht="15.75" customHeight="1">
      <c r="A635" s="99">
        <v>3011.0</v>
      </c>
      <c r="B635" s="100" t="s">
        <v>22</v>
      </c>
      <c r="C635" s="68">
        <v>109000.0</v>
      </c>
      <c r="D635" s="22"/>
      <c r="E635" s="25">
        <f t="shared" ref="E635:E636" si="102">E634+1</f>
        <v>53</v>
      </c>
    </row>
    <row r="636" ht="15.75" customHeight="1">
      <c r="A636" s="99">
        <v>4010.0</v>
      </c>
      <c r="B636" s="100" t="s">
        <v>48</v>
      </c>
      <c r="C636" s="39"/>
      <c r="D636" s="29">
        <v>150000.0</v>
      </c>
      <c r="E636" s="25">
        <f t="shared" si="102"/>
        <v>54</v>
      </c>
    </row>
    <row r="637" ht="15.75" customHeight="1">
      <c r="A637" s="62"/>
      <c r="B637" s="106" t="s">
        <v>19</v>
      </c>
      <c r="C637" s="31">
        <f t="shared" ref="C637:D637" si="103">SUM(C634:C636)</f>
        <v>150000</v>
      </c>
      <c r="D637" s="32">
        <f t="shared" si="103"/>
        <v>150000</v>
      </c>
      <c r="E637" s="25"/>
    </row>
    <row r="638" ht="15.75" customHeight="1">
      <c r="A638" s="62"/>
      <c r="B638" s="106" t="s">
        <v>20</v>
      </c>
      <c r="C638" s="39"/>
      <c r="D638" s="32">
        <f>C637-D637</f>
        <v>0</v>
      </c>
      <c r="E638" s="25"/>
    </row>
    <row r="639" ht="15.75" customHeight="1">
      <c r="A639" s="97">
        <v>142311.0</v>
      </c>
      <c r="B639" s="58" t="s">
        <v>186</v>
      </c>
      <c r="C639" s="35"/>
      <c r="D639" s="36"/>
      <c r="E639" s="37"/>
    </row>
    <row r="640" ht="15.75" customHeight="1">
      <c r="A640" s="99">
        <v>3120.0</v>
      </c>
      <c r="B640" s="100" t="s">
        <v>8</v>
      </c>
      <c r="C640" s="39">
        <v>0.0</v>
      </c>
      <c r="D640" s="22"/>
      <c r="E640" s="25">
        <f>E636+1</f>
        <v>55</v>
      </c>
    </row>
    <row r="641" ht="15.75" customHeight="1">
      <c r="A641" s="99">
        <v>4040.0</v>
      </c>
      <c r="B641" s="100" t="s">
        <v>24</v>
      </c>
      <c r="C641" s="39"/>
      <c r="D641" s="29">
        <v>100.0</v>
      </c>
      <c r="E641" s="25">
        <f t="shared" ref="E641:E645" si="104">E640+1</f>
        <v>56</v>
      </c>
    </row>
    <row r="642" ht="15.75" customHeight="1">
      <c r="A642" s="122">
        <v>4060.0</v>
      </c>
      <c r="B642" s="104" t="s">
        <v>27</v>
      </c>
      <c r="C642" s="39"/>
      <c r="D642" s="22">
        <f>200*2</f>
        <v>400</v>
      </c>
      <c r="E642" s="25">
        <f t="shared" si="104"/>
        <v>57</v>
      </c>
    </row>
    <row r="643" ht="15.75" customHeight="1">
      <c r="A643" s="99">
        <v>4076.0</v>
      </c>
      <c r="B643" s="100" t="s">
        <v>29</v>
      </c>
      <c r="C643" s="39"/>
      <c r="D643" s="22">
        <f>800+20*75</f>
        <v>2300</v>
      </c>
      <c r="E643" s="25">
        <f t="shared" si="104"/>
        <v>58</v>
      </c>
    </row>
    <row r="644" ht="15.75" customHeight="1">
      <c r="A644" s="99">
        <v>4082.0</v>
      </c>
      <c r="B644" s="100" t="s">
        <v>45</v>
      </c>
      <c r="C644" s="39"/>
      <c r="D644" s="22">
        <f>100*2</f>
        <v>200</v>
      </c>
      <c r="E644" s="25">
        <f t="shared" si="104"/>
        <v>59</v>
      </c>
    </row>
    <row r="645" ht="15.75" customHeight="1">
      <c r="A645" s="99">
        <v>4190.0</v>
      </c>
      <c r="B645" s="100" t="s">
        <v>32</v>
      </c>
      <c r="C645" s="39"/>
      <c r="D645" s="22">
        <f>200*2</f>
        <v>400</v>
      </c>
      <c r="E645" s="25">
        <f t="shared" si="104"/>
        <v>60</v>
      </c>
    </row>
    <row r="646" ht="15.75" customHeight="1">
      <c r="A646" s="101"/>
      <c r="B646" s="106" t="s">
        <v>19</v>
      </c>
      <c r="C646" s="31">
        <f t="shared" ref="C646:D646" si="105">SUM(C640:C645)</f>
        <v>0</v>
      </c>
      <c r="D646" s="32">
        <f t="shared" si="105"/>
        <v>3400</v>
      </c>
      <c r="E646" s="40"/>
    </row>
    <row r="647" ht="15.75" customHeight="1">
      <c r="A647" s="101"/>
      <c r="B647" s="106" t="s">
        <v>20</v>
      </c>
      <c r="C647" s="39"/>
      <c r="D647" s="32">
        <f>C646-D646</f>
        <v>-3400</v>
      </c>
      <c r="E647" s="40"/>
    </row>
    <row r="648" ht="15.75" hidden="1" customHeight="1">
      <c r="A648" s="124"/>
      <c r="B648" s="58" t="s">
        <v>187</v>
      </c>
      <c r="C648" s="35"/>
      <c r="D648" s="36"/>
      <c r="E648" s="37"/>
    </row>
    <row r="649" ht="15.75" hidden="1" customHeight="1">
      <c r="A649" s="10">
        <v>4010.0</v>
      </c>
      <c r="B649" s="11" t="s">
        <v>48</v>
      </c>
      <c r="C649" s="35"/>
      <c r="D649" s="36"/>
      <c r="E649" s="37"/>
    </row>
    <row r="650" ht="15.75" hidden="1" customHeight="1">
      <c r="A650" s="10">
        <v>4076.0</v>
      </c>
      <c r="B650" s="131" t="s">
        <v>29</v>
      </c>
      <c r="C650" s="35"/>
      <c r="D650" s="36"/>
      <c r="E650" s="37"/>
    </row>
    <row r="651" ht="15.75" hidden="1" customHeight="1">
      <c r="A651" s="10"/>
      <c r="B651" s="58" t="s">
        <v>19</v>
      </c>
      <c r="C651" s="35">
        <f t="shared" ref="C651:D651" si="106">SUM(C649:C650)</f>
        <v>0</v>
      </c>
      <c r="D651" s="13">
        <f t="shared" si="106"/>
        <v>0</v>
      </c>
      <c r="E651" s="37"/>
    </row>
    <row r="652" ht="15.75" hidden="1" customHeight="1">
      <c r="A652" s="10"/>
      <c r="B652" s="58" t="s">
        <v>20</v>
      </c>
      <c r="C652" s="35"/>
      <c r="D652" s="13">
        <f>C651-D651</f>
        <v>0</v>
      </c>
      <c r="E652" s="37"/>
    </row>
    <row r="653" ht="15.75" customHeight="1">
      <c r="A653" s="97">
        <v>142312.0</v>
      </c>
      <c r="B653" s="58" t="s">
        <v>188</v>
      </c>
      <c r="C653" s="35"/>
      <c r="D653" s="36"/>
      <c r="E653" s="37"/>
    </row>
    <row r="654" ht="15.75" hidden="1" customHeight="1">
      <c r="A654" s="123">
        <v>3030.0</v>
      </c>
      <c r="B654" s="98" t="s">
        <v>117</v>
      </c>
      <c r="C654" s="39">
        <v>0.0</v>
      </c>
      <c r="D654" s="22"/>
      <c r="E654" s="25">
        <f>E645+1</f>
        <v>61</v>
      </c>
    </row>
    <row r="655" ht="15.75" hidden="1" customHeight="1">
      <c r="A655" s="123">
        <v>4010.0</v>
      </c>
      <c r="B655" s="137" t="s">
        <v>48</v>
      </c>
      <c r="C655" s="39"/>
      <c r="D655" s="22">
        <v>0.0</v>
      </c>
      <c r="E655" s="25">
        <f t="shared" ref="E655:E663" si="107">E654+1</f>
        <v>62</v>
      </c>
    </row>
    <row r="656" ht="15.75" hidden="1" customHeight="1">
      <c r="A656" s="123">
        <v>4012.0</v>
      </c>
      <c r="B656" s="137" t="s">
        <v>118</v>
      </c>
      <c r="C656" s="39"/>
      <c r="D656" s="22">
        <v>0.0</v>
      </c>
      <c r="E656" s="25">
        <f t="shared" si="107"/>
        <v>63</v>
      </c>
    </row>
    <row r="657" ht="15.75" hidden="1" customHeight="1">
      <c r="A657" s="123">
        <v>4040.0</v>
      </c>
      <c r="B657" s="100" t="s">
        <v>24</v>
      </c>
      <c r="C657" s="39"/>
      <c r="D657" s="22">
        <v>0.0</v>
      </c>
      <c r="E657" s="25">
        <f t="shared" si="107"/>
        <v>64</v>
      </c>
    </row>
    <row r="658" ht="15.75" hidden="1" customHeight="1">
      <c r="A658" s="123">
        <v>4047.0</v>
      </c>
      <c r="B658" s="100" t="s">
        <v>14</v>
      </c>
      <c r="C658" s="39"/>
      <c r="D658" s="22">
        <v>0.0</v>
      </c>
      <c r="E658" s="25">
        <f t="shared" si="107"/>
        <v>65</v>
      </c>
    </row>
    <row r="659" ht="15.75" hidden="1" customHeight="1">
      <c r="A659" s="123">
        <v>4060.0</v>
      </c>
      <c r="B659" s="100" t="s">
        <v>27</v>
      </c>
      <c r="C659" s="39"/>
      <c r="D659" s="22">
        <v>0.0</v>
      </c>
      <c r="E659" s="25">
        <f t="shared" si="107"/>
        <v>66</v>
      </c>
    </row>
    <row r="660" ht="15.75" hidden="1" customHeight="1">
      <c r="A660" s="123">
        <v>4069.0</v>
      </c>
      <c r="B660" s="100" t="s">
        <v>181</v>
      </c>
      <c r="C660" s="39"/>
      <c r="D660" s="22">
        <v>0.0</v>
      </c>
      <c r="E660" s="25">
        <f t="shared" si="107"/>
        <v>67</v>
      </c>
    </row>
    <row r="661" ht="15.75" hidden="1" customHeight="1">
      <c r="A661" s="123">
        <v>4076.0</v>
      </c>
      <c r="B661" s="100" t="s">
        <v>29</v>
      </c>
      <c r="C661" s="39"/>
      <c r="D661" s="22">
        <v>0.0</v>
      </c>
      <c r="E661" s="25">
        <f t="shared" si="107"/>
        <v>68</v>
      </c>
    </row>
    <row r="662" ht="15.75" hidden="1" customHeight="1">
      <c r="A662" s="123">
        <v>4082.0</v>
      </c>
      <c r="B662" s="100" t="s">
        <v>45</v>
      </c>
      <c r="C662" s="39"/>
      <c r="D662" s="22">
        <v>0.0</v>
      </c>
      <c r="E662" s="25">
        <f t="shared" si="107"/>
        <v>69</v>
      </c>
    </row>
    <row r="663" ht="15.75" hidden="1" customHeight="1">
      <c r="A663" s="123">
        <v>4190.0</v>
      </c>
      <c r="B663" s="100" t="s">
        <v>32</v>
      </c>
      <c r="C663" s="39"/>
      <c r="D663" s="22">
        <v>0.0</v>
      </c>
      <c r="E663" s="25">
        <f t="shared" si="107"/>
        <v>70</v>
      </c>
    </row>
    <row r="664" ht="15.75" hidden="1" customHeight="1">
      <c r="A664" s="123"/>
      <c r="B664" s="106" t="s">
        <v>19</v>
      </c>
      <c r="C664" s="31">
        <f t="shared" ref="C664:D664" si="108">SUM(C654:C663)</f>
        <v>0</v>
      </c>
      <c r="D664" s="32">
        <f t="shared" si="108"/>
        <v>0</v>
      </c>
      <c r="E664" s="25"/>
    </row>
    <row r="665" ht="15.75" hidden="1" customHeight="1">
      <c r="A665" s="101"/>
      <c r="B665" s="106" t="s">
        <v>20</v>
      </c>
      <c r="C665" s="39"/>
      <c r="D665" s="32">
        <f>C664-D664</f>
        <v>0</v>
      </c>
      <c r="E665" s="25"/>
    </row>
    <row r="666" ht="15.75" customHeight="1">
      <c r="A666" s="124"/>
      <c r="B666" s="58" t="s">
        <v>189</v>
      </c>
      <c r="C666" s="35"/>
      <c r="D666" s="36"/>
      <c r="E666" s="25"/>
    </row>
    <row r="667" ht="15.75" hidden="1" customHeight="1">
      <c r="A667" s="123">
        <v>4076.0</v>
      </c>
      <c r="B667" s="100" t="s">
        <v>29</v>
      </c>
      <c r="C667" s="39"/>
      <c r="D667" s="22">
        <v>0.0</v>
      </c>
      <c r="E667" s="25"/>
    </row>
    <row r="668" ht="15.75" hidden="1" customHeight="1">
      <c r="A668" s="101"/>
      <c r="B668" s="106"/>
      <c r="C668" s="39" t="str">
        <f t="shared" ref="C668:D668" si="109">C667</f>
        <v/>
      </c>
      <c r="D668" s="32">
        <f t="shared" si="109"/>
        <v>0</v>
      </c>
      <c r="E668" s="25"/>
    </row>
    <row r="669" ht="15.75" hidden="1" customHeight="1">
      <c r="A669" s="101"/>
      <c r="B669" s="106"/>
      <c r="C669" s="39"/>
      <c r="D669" s="32">
        <f>C668-D668</f>
        <v>0</v>
      </c>
      <c r="E669" s="25"/>
    </row>
    <row r="670" ht="15.75" customHeight="1">
      <c r="A670" s="97">
        <v>142313.0</v>
      </c>
      <c r="B670" s="58" t="s">
        <v>190</v>
      </c>
      <c r="C670" s="35"/>
      <c r="D670" s="36"/>
      <c r="E670" s="25"/>
    </row>
    <row r="671" ht="15.75" hidden="1" customHeight="1">
      <c r="A671" s="62">
        <v>3110.0</v>
      </c>
      <c r="B671" s="98" t="s">
        <v>111</v>
      </c>
      <c r="C671" s="39">
        <v>0.0</v>
      </c>
      <c r="D671" s="22"/>
      <c r="E671" s="25">
        <f>E663+1</f>
        <v>71</v>
      </c>
    </row>
    <row r="672" ht="15.75" hidden="1" customHeight="1">
      <c r="A672" s="62">
        <v>4040.0</v>
      </c>
      <c r="B672" s="98" t="s">
        <v>24</v>
      </c>
      <c r="C672" s="39"/>
      <c r="D672" s="22">
        <v>0.0</v>
      </c>
      <c r="E672" s="25">
        <f t="shared" ref="E672:E675" si="110">E671+1</f>
        <v>72</v>
      </c>
    </row>
    <row r="673" ht="15.75" hidden="1" customHeight="1">
      <c r="A673" s="62">
        <v>4047.0</v>
      </c>
      <c r="B673" s="98" t="s">
        <v>14</v>
      </c>
      <c r="C673" s="39"/>
      <c r="D673" s="22">
        <v>0.0</v>
      </c>
      <c r="E673" s="25">
        <f t="shared" si="110"/>
        <v>73</v>
      </c>
    </row>
    <row r="674" ht="15.75" hidden="1" customHeight="1">
      <c r="A674" s="62">
        <v>4060.0</v>
      </c>
      <c r="B674" s="98" t="s">
        <v>27</v>
      </c>
      <c r="C674" s="39"/>
      <c r="D674" s="22">
        <v>0.0</v>
      </c>
      <c r="E674" s="25">
        <f t="shared" si="110"/>
        <v>74</v>
      </c>
    </row>
    <row r="675" ht="15.75" hidden="1" customHeight="1">
      <c r="A675" s="62">
        <v>4063.0</v>
      </c>
      <c r="B675" s="98" t="s">
        <v>70</v>
      </c>
      <c r="C675" s="39"/>
      <c r="D675" s="22">
        <v>0.0</v>
      </c>
      <c r="E675" s="25">
        <f t="shared" si="110"/>
        <v>75</v>
      </c>
    </row>
    <row r="676" ht="15.75" hidden="1" customHeight="1">
      <c r="A676" s="62">
        <v>4076.0</v>
      </c>
      <c r="B676" s="98" t="s">
        <v>29</v>
      </c>
      <c r="C676" s="39"/>
      <c r="D676" s="22">
        <v>0.0</v>
      </c>
      <c r="E676" s="25">
        <v>91.0</v>
      </c>
    </row>
    <row r="677" ht="15.75" hidden="1" customHeight="1">
      <c r="A677" s="62">
        <v>4082.0</v>
      </c>
      <c r="B677" s="98" t="s">
        <v>45</v>
      </c>
      <c r="C677" s="39"/>
      <c r="D677" s="22">
        <v>0.0</v>
      </c>
      <c r="E677" s="25">
        <f t="shared" ref="E677:E680" si="111">E676+1</f>
        <v>92</v>
      </c>
    </row>
    <row r="678" ht="15.75" hidden="1" customHeight="1">
      <c r="A678" s="62">
        <v>4190.0</v>
      </c>
      <c r="B678" s="98" t="s">
        <v>32</v>
      </c>
      <c r="C678" s="39"/>
      <c r="D678" s="22">
        <v>0.0</v>
      </c>
      <c r="E678" s="25">
        <f t="shared" si="111"/>
        <v>93</v>
      </c>
    </row>
    <row r="679" ht="15.75" hidden="1" customHeight="1">
      <c r="A679" s="62">
        <v>5710.0</v>
      </c>
      <c r="B679" s="98" t="s">
        <v>143</v>
      </c>
      <c r="C679" s="39"/>
      <c r="D679" s="22">
        <v>0.0</v>
      </c>
      <c r="E679" s="25">
        <f t="shared" si="111"/>
        <v>94</v>
      </c>
    </row>
    <row r="680" ht="15.75" hidden="1" customHeight="1">
      <c r="A680" s="62">
        <v>6070.0</v>
      </c>
      <c r="B680" s="98" t="s">
        <v>35</v>
      </c>
      <c r="C680" s="39"/>
      <c r="D680" s="22">
        <v>0.0</v>
      </c>
      <c r="E680" s="25">
        <f t="shared" si="111"/>
        <v>95</v>
      </c>
    </row>
    <row r="681" ht="15.75" hidden="1" customHeight="1">
      <c r="A681" s="62"/>
      <c r="B681" s="98" t="s">
        <v>19</v>
      </c>
      <c r="C681" s="31">
        <f t="shared" ref="C681:D681" si="112">sum(C671:C680)</f>
        <v>0</v>
      </c>
      <c r="D681" s="32">
        <f t="shared" si="112"/>
        <v>0</v>
      </c>
      <c r="E681" s="25"/>
    </row>
    <row r="682" ht="15.75" hidden="1" customHeight="1">
      <c r="A682" s="62"/>
      <c r="B682" s="98" t="s">
        <v>20</v>
      </c>
      <c r="C682" s="39"/>
      <c r="D682" s="32">
        <f>C681-D681</f>
        <v>0</v>
      </c>
      <c r="E682" s="25"/>
    </row>
    <row r="683" ht="15.75" customHeight="1">
      <c r="A683" s="97">
        <v>142314.0</v>
      </c>
      <c r="B683" s="58" t="s">
        <v>191</v>
      </c>
      <c r="C683" s="35"/>
      <c r="D683" s="36"/>
      <c r="E683" s="25"/>
    </row>
    <row r="684" ht="15.75" hidden="1" customHeight="1">
      <c r="A684" s="123">
        <v>3011.0</v>
      </c>
      <c r="B684" s="103" t="s">
        <v>22</v>
      </c>
      <c r="C684" s="39">
        <v>0.0</v>
      </c>
      <c r="D684" s="22"/>
      <c r="E684" s="25">
        <f>E680+1</f>
        <v>96</v>
      </c>
    </row>
    <row r="685" ht="15.75" hidden="1" customHeight="1">
      <c r="A685" s="123">
        <v>3110.0</v>
      </c>
      <c r="B685" s="103" t="s">
        <v>111</v>
      </c>
      <c r="C685" s="39"/>
      <c r="D685" s="22">
        <v>0.0</v>
      </c>
      <c r="E685" s="25">
        <f t="shared" ref="E685:E693" si="113">E684+1</f>
        <v>97</v>
      </c>
    </row>
    <row r="686" ht="15.75" hidden="1" customHeight="1">
      <c r="A686" s="123">
        <v>4040.0</v>
      </c>
      <c r="B686" s="103" t="s">
        <v>24</v>
      </c>
      <c r="C686" s="39"/>
      <c r="D686" s="22">
        <v>0.0</v>
      </c>
      <c r="E686" s="25">
        <f t="shared" si="113"/>
        <v>98</v>
      </c>
    </row>
    <row r="687" ht="15.75" hidden="1" customHeight="1">
      <c r="A687" s="123">
        <v>4047.0</v>
      </c>
      <c r="B687" s="103" t="s">
        <v>14</v>
      </c>
      <c r="C687" s="39"/>
      <c r="D687" s="22">
        <v>0.0</v>
      </c>
      <c r="E687" s="25">
        <f t="shared" si="113"/>
        <v>99</v>
      </c>
    </row>
    <row r="688" ht="15.75" hidden="1" customHeight="1">
      <c r="A688" s="123">
        <v>4060.0</v>
      </c>
      <c r="B688" s="103" t="s">
        <v>27</v>
      </c>
      <c r="C688" s="39"/>
      <c r="D688" s="22">
        <v>0.0</v>
      </c>
      <c r="E688" s="25">
        <f t="shared" si="113"/>
        <v>100</v>
      </c>
    </row>
    <row r="689" ht="15.75" hidden="1" customHeight="1">
      <c r="A689" s="123">
        <v>4063.0</v>
      </c>
      <c r="B689" s="103" t="s">
        <v>70</v>
      </c>
      <c r="C689" s="39"/>
      <c r="D689" s="22">
        <v>0.0</v>
      </c>
      <c r="E689" s="25">
        <f t="shared" si="113"/>
        <v>101</v>
      </c>
    </row>
    <row r="690" ht="15.75" hidden="1" customHeight="1">
      <c r="A690" s="123">
        <v>4076.0</v>
      </c>
      <c r="B690" s="103" t="s">
        <v>29</v>
      </c>
      <c r="C690" s="39"/>
      <c r="D690" s="22">
        <v>0.0</v>
      </c>
      <c r="E690" s="25">
        <f t="shared" si="113"/>
        <v>102</v>
      </c>
    </row>
    <row r="691" ht="15.75" hidden="1" customHeight="1">
      <c r="A691" s="123">
        <v>4078.0</v>
      </c>
      <c r="B691" s="103" t="s">
        <v>30</v>
      </c>
      <c r="C691" s="39"/>
      <c r="D691" s="22">
        <v>0.0</v>
      </c>
      <c r="E691" s="25">
        <f t="shared" si="113"/>
        <v>103</v>
      </c>
    </row>
    <row r="692" ht="15.75" hidden="1" customHeight="1">
      <c r="A692" s="123">
        <v>4082.0</v>
      </c>
      <c r="B692" s="103" t="s">
        <v>45</v>
      </c>
      <c r="C692" s="39"/>
      <c r="D692" s="22">
        <v>0.0</v>
      </c>
      <c r="E692" s="25">
        <f t="shared" si="113"/>
        <v>104</v>
      </c>
    </row>
    <row r="693" ht="15.75" hidden="1" customHeight="1">
      <c r="A693" s="123">
        <v>4190.0</v>
      </c>
      <c r="B693" s="103" t="s">
        <v>32</v>
      </c>
      <c r="C693" s="39"/>
      <c r="D693" s="22">
        <v>0.0</v>
      </c>
      <c r="E693" s="25">
        <f t="shared" si="113"/>
        <v>105</v>
      </c>
    </row>
    <row r="694" ht="15.75" hidden="1" customHeight="1">
      <c r="A694" s="101"/>
      <c r="B694" s="103" t="s">
        <v>19</v>
      </c>
      <c r="C694" s="31">
        <f t="shared" ref="C694:D694" si="114">sum(C684:C693)</f>
        <v>0</v>
      </c>
      <c r="D694" s="32">
        <f t="shared" si="114"/>
        <v>0</v>
      </c>
      <c r="E694" s="25"/>
    </row>
    <row r="695" ht="15.75" hidden="1" customHeight="1">
      <c r="A695" s="101"/>
      <c r="B695" s="103" t="s">
        <v>20</v>
      </c>
      <c r="C695" s="31"/>
      <c r="D695" s="32">
        <f>C694-D694</f>
        <v>0</v>
      </c>
      <c r="E695" s="25"/>
    </row>
    <row r="696" ht="15.75" customHeight="1">
      <c r="A696" s="97">
        <v>142315.0</v>
      </c>
      <c r="B696" s="58" t="s">
        <v>192</v>
      </c>
      <c r="C696" s="35"/>
      <c r="D696" s="36"/>
      <c r="E696" s="25"/>
    </row>
    <row r="697" ht="15.75" hidden="1" customHeight="1">
      <c r="A697" s="62">
        <v>3110.0</v>
      </c>
      <c r="B697" s="138" t="s">
        <v>111</v>
      </c>
      <c r="C697" s="39">
        <v>0.0</v>
      </c>
      <c r="D697" s="22"/>
      <c r="E697" s="25">
        <f>E636+1</f>
        <v>55</v>
      </c>
    </row>
    <row r="698" ht="15.75" hidden="1" customHeight="1">
      <c r="A698" s="62">
        <v>4040.0</v>
      </c>
      <c r="B698" s="138" t="s">
        <v>24</v>
      </c>
      <c r="C698" s="39"/>
      <c r="D698" s="22">
        <v>0.0</v>
      </c>
      <c r="E698" s="25">
        <f t="shared" ref="E698:E713" si="115">E697+1</f>
        <v>56</v>
      </c>
    </row>
    <row r="699" ht="15.75" hidden="1" customHeight="1">
      <c r="A699" s="62">
        <v>4047.0</v>
      </c>
      <c r="B699" s="138" t="s">
        <v>14</v>
      </c>
      <c r="C699" s="39"/>
      <c r="D699" s="22">
        <v>0.0</v>
      </c>
      <c r="E699" s="25">
        <f t="shared" si="115"/>
        <v>57</v>
      </c>
    </row>
    <row r="700" ht="15.75" hidden="1" customHeight="1">
      <c r="A700" s="62">
        <v>4060.0</v>
      </c>
      <c r="B700" s="138" t="s">
        <v>27</v>
      </c>
      <c r="C700" s="39"/>
      <c r="D700" s="22">
        <v>0.0</v>
      </c>
      <c r="E700" s="25">
        <f t="shared" si="115"/>
        <v>58</v>
      </c>
    </row>
    <row r="701" ht="15.75" hidden="1" customHeight="1">
      <c r="A701" s="62">
        <v>4069.0</v>
      </c>
      <c r="B701" s="138" t="s">
        <v>181</v>
      </c>
      <c r="C701" s="39"/>
      <c r="D701" s="22">
        <v>0.0</v>
      </c>
      <c r="E701" s="25">
        <f t="shared" si="115"/>
        <v>59</v>
      </c>
    </row>
    <row r="702" ht="15.75" hidden="1" customHeight="1">
      <c r="A702" s="62">
        <v>4076.0</v>
      </c>
      <c r="B702" s="138" t="s">
        <v>29</v>
      </c>
      <c r="C702" s="39"/>
      <c r="D702" s="22">
        <v>0.0</v>
      </c>
      <c r="E702" s="25">
        <f t="shared" si="115"/>
        <v>60</v>
      </c>
    </row>
    <row r="703" ht="15.75" hidden="1" customHeight="1">
      <c r="A703" s="62">
        <v>4078.0</v>
      </c>
      <c r="B703" s="138" t="s">
        <v>30</v>
      </c>
      <c r="C703" s="39"/>
      <c r="D703" s="22">
        <v>0.0</v>
      </c>
      <c r="E703" s="25">
        <f t="shared" si="115"/>
        <v>61</v>
      </c>
    </row>
    <row r="704" ht="15.75" hidden="1" customHeight="1">
      <c r="A704" s="62">
        <v>4082.0</v>
      </c>
      <c r="B704" s="138" t="s">
        <v>45</v>
      </c>
      <c r="C704" s="39"/>
      <c r="D704" s="22">
        <v>0.0</v>
      </c>
      <c r="E704" s="25">
        <f t="shared" si="115"/>
        <v>62</v>
      </c>
    </row>
    <row r="705" ht="15.75" hidden="1" customHeight="1">
      <c r="A705" s="62">
        <v>4190.0</v>
      </c>
      <c r="B705" s="138" t="s">
        <v>32</v>
      </c>
      <c r="C705" s="39"/>
      <c r="D705" s="22">
        <v>0.0</v>
      </c>
      <c r="E705" s="25">
        <f t="shared" si="115"/>
        <v>63</v>
      </c>
    </row>
    <row r="706" ht="15.75" hidden="1" customHeight="1">
      <c r="A706" s="62">
        <v>5010.0</v>
      </c>
      <c r="B706" s="138" t="s">
        <v>61</v>
      </c>
      <c r="C706" s="39"/>
      <c r="D706" s="22">
        <v>0.0</v>
      </c>
      <c r="E706" s="25">
        <f t="shared" si="115"/>
        <v>64</v>
      </c>
    </row>
    <row r="707" ht="15.75" hidden="1" customHeight="1">
      <c r="A707" s="62">
        <v>5710.0</v>
      </c>
      <c r="B707" s="138" t="s">
        <v>143</v>
      </c>
      <c r="C707" s="39"/>
      <c r="D707" s="22">
        <v>0.0</v>
      </c>
      <c r="E707" s="25">
        <f t="shared" si="115"/>
        <v>65</v>
      </c>
    </row>
    <row r="708" ht="15.75" hidden="1" customHeight="1">
      <c r="A708" s="62">
        <v>5810.0</v>
      </c>
      <c r="B708" s="138" t="s">
        <v>34</v>
      </c>
      <c r="C708" s="39"/>
      <c r="D708" s="22">
        <v>0.0</v>
      </c>
      <c r="E708" s="25">
        <f t="shared" si="115"/>
        <v>66</v>
      </c>
    </row>
    <row r="709" ht="15.75" hidden="1" customHeight="1">
      <c r="A709" s="62">
        <v>5830.0</v>
      </c>
      <c r="B709" s="138" t="s">
        <v>177</v>
      </c>
      <c r="C709" s="39"/>
      <c r="D709" s="22">
        <v>0.0</v>
      </c>
      <c r="E709" s="25">
        <f t="shared" si="115"/>
        <v>67</v>
      </c>
    </row>
    <row r="710" ht="15.75" hidden="1" customHeight="1">
      <c r="A710" s="62">
        <v>5940.0</v>
      </c>
      <c r="B710" s="138" t="s">
        <v>193</v>
      </c>
      <c r="C710" s="39"/>
      <c r="D710" s="22">
        <v>0.0</v>
      </c>
      <c r="E710" s="25">
        <f t="shared" si="115"/>
        <v>68</v>
      </c>
    </row>
    <row r="711" ht="15.75" hidden="1" customHeight="1">
      <c r="A711" s="62">
        <v>6070.0</v>
      </c>
      <c r="B711" s="138" t="s">
        <v>35</v>
      </c>
      <c r="C711" s="39"/>
      <c r="D711" s="22">
        <v>0.0</v>
      </c>
      <c r="E711" s="25">
        <f t="shared" si="115"/>
        <v>69</v>
      </c>
    </row>
    <row r="712" ht="15.75" hidden="1" customHeight="1">
      <c r="A712" s="62">
        <v>6150.0</v>
      </c>
      <c r="B712" s="138" t="s">
        <v>70</v>
      </c>
      <c r="C712" s="39"/>
      <c r="D712" s="22">
        <v>0.0</v>
      </c>
      <c r="E712" s="25">
        <f t="shared" si="115"/>
        <v>70</v>
      </c>
    </row>
    <row r="713" ht="15.75" hidden="1" customHeight="1">
      <c r="A713" s="62">
        <v>7320.0</v>
      </c>
      <c r="B713" s="138" t="s">
        <v>184</v>
      </c>
      <c r="C713" s="39"/>
      <c r="D713" s="22">
        <v>0.0</v>
      </c>
      <c r="E713" s="25">
        <f t="shared" si="115"/>
        <v>71</v>
      </c>
    </row>
    <row r="714" ht="15.75" hidden="1" customHeight="1">
      <c r="A714" s="62"/>
      <c r="B714" s="139" t="s">
        <v>19</v>
      </c>
      <c r="C714" s="31">
        <f t="shared" ref="C714:D714" si="116">SUM(C697:C713)</f>
        <v>0</v>
      </c>
      <c r="D714" s="32">
        <f t="shared" si="116"/>
        <v>0</v>
      </c>
      <c r="E714" s="25"/>
    </row>
    <row r="715" ht="15.75" hidden="1" customHeight="1">
      <c r="A715" s="62"/>
      <c r="B715" s="139" t="s">
        <v>20</v>
      </c>
      <c r="C715" s="39"/>
      <c r="D715" s="32">
        <f>C714-D714</f>
        <v>0</v>
      </c>
      <c r="E715" s="25"/>
    </row>
    <row r="716" ht="15.75" customHeight="1">
      <c r="A716" s="97">
        <v>142316.0</v>
      </c>
      <c r="B716" s="58" t="s">
        <v>194</v>
      </c>
      <c r="C716" s="35"/>
      <c r="D716" s="36"/>
      <c r="E716" s="25"/>
    </row>
    <row r="717" ht="15.75" hidden="1" customHeight="1">
      <c r="A717" s="62" t="s">
        <v>195</v>
      </c>
      <c r="B717" s="138" t="s">
        <v>196</v>
      </c>
      <c r="C717" s="39">
        <v>0.0</v>
      </c>
      <c r="D717" s="22"/>
      <c r="E717" s="25">
        <f>E713+1</f>
        <v>72</v>
      </c>
    </row>
    <row r="718" ht="15.75" hidden="1" customHeight="1">
      <c r="A718" s="62" t="s">
        <v>197</v>
      </c>
      <c r="B718" s="138" t="s">
        <v>198</v>
      </c>
      <c r="C718" s="39">
        <v>0.0</v>
      </c>
      <c r="D718" s="22"/>
      <c r="E718" s="25">
        <f t="shared" ref="E718:E729" si="117">E717+1</f>
        <v>73</v>
      </c>
    </row>
    <row r="719" ht="15.75" hidden="1" customHeight="1">
      <c r="A719" s="62" t="s">
        <v>199</v>
      </c>
      <c r="B719" s="138" t="s">
        <v>200</v>
      </c>
      <c r="C719" s="39">
        <v>0.0</v>
      </c>
      <c r="D719" s="22"/>
      <c r="E719" s="25">
        <f t="shared" si="117"/>
        <v>74</v>
      </c>
    </row>
    <row r="720" ht="15.75" hidden="1" customHeight="1">
      <c r="A720" s="62" t="s">
        <v>201</v>
      </c>
      <c r="B720" s="138" t="s">
        <v>202</v>
      </c>
      <c r="C720" s="39"/>
      <c r="D720" s="22">
        <v>0.0</v>
      </c>
      <c r="E720" s="25">
        <f t="shared" si="117"/>
        <v>75</v>
      </c>
    </row>
    <row r="721" ht="15.75" hidden="1" customHeight="1">
      <c r="A721" s="62" t="s">
        <v>203</v>
      </c>
      <c r="B721" s="138" t="s">
        <v>24</v>
      </c>
      <c r="C721" s="39"/>
      <c r="D721" s="22">
        <v>0.0</v>
      </c>
      <c r="E721" s="25">
        <f t="shared" si="117"/>
        <v>76</v>
      </c>
    </row>
    <row r="722" ht="15.75" hidden="1" customHeight="1">
      <c r="A722" s="62">
        <v>4060.0</v>
      </c>
      <c r="B722" s="138" t="s">
        <v>27</v>
      </c>
      <c r="C722" s="39"/>
      <c r="D722" s="22">
        <v>0.0</v>
      </c>
      <c r="E722" s="25">
        <f t="shared" si="117"/>
        <v>77</v>
      </c>
    </row>
    <row r="723" ht="15.75" hidden="1" customHeight="1">
      <c r="A723" s="62" t="s">
        <v>204</v>
      </c>
      <c r="B723" s="138" t="s">
        <v>70</v>
      </c>
      <c r="C723" s="39"/>
      <c r="D723" s="22">
        <v>0.0</v>
      </c>
      <c r="E723" s="25">
        <f t="shared" si="117"/>
        <v>78</v>
      </c>
    </row>
    <row r="724" ht="15.75" hidden="1" customHeight="1">
      <c r="A724" s="62" t="s">
        <v>205</v>
      </c>
      <c r="B724" s="138" t="s">
        <v>29</v>
      </c>
      <c r="C724" s="39"/>
      <c r="D724" s="22">
        <v>0.0</v>
      </c>
      <c r="E724" s="25">
        <f t="shared" si="117"/>
        <v>79</v>
      </c>
    </row>
    <row r="725" ht="15.75" hidden="1" customHeight="1">
      <c r="A725" s="62" t="s">
        <v>206</v>
      </c>
      <c r="B725" s="138" t="s">
        <v>32</v>
      </c>
      <c r="C725" s="39"/>
      <c r="D725" s="22">
        <v>0.0</v>
      </c>
      <c r="E725" s="25">
        <f t="shared" si="117"/>
        <v>80</v>
      </c>
    </row>
    <row r="726" ht="15.75" hidden="1" customHeight="1">
      <c r="A726" s="62" t="s">
        <v>207</v>
      </c>
      <c r="B726" s="138" t="s">
        <v>208</v>
      </c>
      <c r="C726" s="39"/>
      <c r="D726" s="22">
        <v>0.0</v>
      </c>
      <c r="E726" s="25">
        <f t="shared" si="117"/>
        <v>81</v>
      </c>
    </row>
    <row r="727" ht="15.75" hidden="1" customHeight="1">
      <c r="A727" s="62" t="s">
        <v>209</v>
      </c>
      <c r="B727" s="138" t="s">
        <v>143</v>
      </c>
      <c r="C727" s="39"/>
      <c r="D727" s="22">
        <v>0.0</v>
      </c>
      <c r="E727" s="25">
        <f t="shared" si="117"/>
        <v>82</v>
      </c>
    </row>
    <row r="728" ht="15.75" hidden="1" customHeight="1">
      <c r="A728" s="62" t="s">
        <v>210</v>
      </c>
      <c r="B728" s="138" t="s">
        <v>76</v>
      </c>
      <c r="C728" s="39"/>
      <c r="D728" s="22">
        <v>0.0</v>
      </c>
      <c r="E728" s="25">
        <f t="shared" si="117"/>
        <v>83</v>
      </c>
    </row>
    <row r="729" ht="15.75" hidden="1" customHeight="1">
      <c r="A729" s="62">
        <v>5810.0</v>
      </c>
      <c r="B729" s="138" t="s">
        <v>34</v>
      </c>
      <c r="C729" s="39"/>
      <c r="D729" s="22">
        <v>0.0</v>
      </c>
      <c r="E729" s="25">
        <f t="shared" si="117"/>
        <v>84</v>
      </c>
    </row>
    <row r="730" ht="15.75" hidden="1" customHeight="1">
      <c r="A730" s="62"/>
      <c r="B730" s="139" t="s">
        <v>19</v>
      </c>
      <c r="C730" s="31">
        <f t="shared" ref="C730:D730" si="118">SUM(C717:C729)</f>
        <v>0</v>
      </c>
      <c r="D730" s="32">
        <f t="shared" si="118"/>
        <v>0</v>
      </c>
      <c r="E730" s="25"/>
    </row>
    <row r="731" ht="15.75" hidden="1" customHeight="1">
      <c r="A731" s="62"/>
      <c r="B731" s="139" t="s">
        <v>20</v>
      </c>
      <c r="C731" s="39"/>
      <c r="D731" s="32">
        <f>C730-D730</f>
        <v>0</v>
      </c>
      <c r="E731" s="25"/>
    </row>
    <row r="732" ht="15.75" customHeight="1">
      <c r="A732" s="140">
        <v>142317.0</v>
      </c>
      <c r="B732" s="141" t="s">
        <v>211</v>
      </c>
      <c r="C732" s="142"/>
      <c r="D732" s="143"/>
      <c r="E732" s="25"/>
    </row>
    <row r="733" ht="15.75" customHeight="1">
      <c r="A733" s="62">
        <v>3011.0</v>
      </c>
      <c r="B733" s="138" t="s">
        <v>22</v>
      </c>
      <c r="C733" s="39">
        <v>20000.0</v>
      </c>
      <c r="D733" s="22"/>
      <c r="E733" s="25">
        <f>E645+1</f>
        <v>61</v>
      </c>
    </row>
    <row r="734" ht="15.75" customHeight="1">
      <c r="A734" s="108">
        <v>3014.0</v>
      </c>
      <c r="B734" s="144" t="s">
        <v>212</v>
      </c>
      <c r="C734" s="39">
        <f>7*70</f>
        <v>490</v>
      </c>
      <c r="D734" s="22"/>
      <c r="E734" s="25">
        <f>E733+1</f>
        <v>62</v>
      </c>
    </row>
    <row r="735" ht="15.75" customHeight="1">
      <c r="A735" s="62">
        <v>3030.0</v>
      </c>
      <c r="B735" s="138" t="s">
        <v>117</v>
      </c>
      <c r="C735" s="39">
        <f>45000*1.13</f>
        <v>50850</v>
      </c>
      <c r="D735" s="22"/>
      <c r="E735" s="25">
        <f>E733+1</f>
        <v>62</v>
      </c>
    </row>
    <row r="736" ht="15.75" customHeight="1">
      <c r="A736" s="62">
        <v>4010.0</v>
      </c>
      <c r="B736" s="138" t="s">
        <v>48</v>
      </c>
      <c r="C736" s="39"/>
      <c r="D736" s="29">
        <v>5500.0</v>
      </c>
      <c r="E736" s="25">
        <f t="shared" ref="E736:E744" si="119">E735+1</f>
        <v>63</v>
      </c>
    </row>
    <row r="737" ht="15.75" customHeight="1">
      <c r="A737" s="62">
        <v>4012.0</v>
      </c>
      <c r="B737" s="138" t="s">
        <v>118</v>
      </c>
      <c r="C737" s="39"/>
      <c r="D737" s="22">
        <f>C735/1.9</f>
        <v>26763.15789</v>
      </c>
      <c r="E737" s="25">
        <f t="shared" si="119"/>
        <v>64</v>
      </c>
    </row>
    <row r="738" ht="15.75" customHeight="1">
      <c r="A738" s="62">
        <v>4013.0</v>
      </c>
      <c r="B738" s="138" t="s">
        <v>98</v>
      </c>
      <c r="C738" s="39"/>
      <c r="D738" s="22">
        <f>30*100</f>
        <v>3000</v>
      </c>
      <c r="E738" s="25">
        <f t="shared" si="119"/>
        <v>65</v>
      </c>
    </row>
    <row r="739" ht="15.75" hidden="1" customHeight="1">
      <c r="A739" s="62">
        <v>4047.0</v>
      </c>
      <c r="B739" s="138" t="s">
        <v>14</v>
      </c>
      <c r="C739" s="39"/>
      <c r="D739" s="22">
        <v>0.0</v>
      </c>
      <c r="E739" s="25">
        <f t="shared" si="119"/>
        <v>66</v>
      </c>
    </row>
    <row r="740" ht="15.75" hidden="1" customHeight="1">
      <c r="A740" s="145">
        <v>4076.0</v>
      </c>
      <c r="B740" s="146" t="s">
        <v>29</v>
      </c>
      <c r="C740" s="39"/>
      <c r="D740" s="22">
        <v>0.0</v>
      </c>
      <c r="E740" s="25">
        <f t="shared" si="119"/>
        <v>67</v>
      </c>
    </row>
    <row r="741" ht="15.75" customHeight="1">
      <c r="A741" s="62">
        <v>4078.0</v>
      </c>
      <c r="B741" s="138" t="s">
        <v>30</v>
      </c>
      <c r="C741" s="39"/>
      <c r="D741" s="29">
        <v>2000.0</v>
      </c>
      <c r="E741" s="25">
        <f t="shared" si="119"/>
        <v>68</v>
      </c>
    </row>
    <row r="742" ht="15.75" hidden="1" customHeight="1">
      <c r="A742" s="62">
        <v>4082.0</v>
      </c>
      <c r="B742" s="138" t="s">
        <v>45</v>
      </c>
      <c r="C742" s="39"/>
      <c r="D742" s="22">
        <v>0.0</v>
      </c>
      <c r="E742" s="25">
        <f t="shared" si="119"/>
        <v>69</v>
      </c>
    </row>
    <row r="743" ht="15.75" customHeight="1">
      <c r="A743" s="62">
        <v>6800.0</v>
      </c>
      <c r="B743" s="138" t="s">
        <v>114</v>
      </c>
      <c r="C743" s="39"/>
      <c r="D743" s="22">
        <f>547.5*48</f>
        <v>26280</v>
      </c>
      <c r="E743" s="25">
        <f t="shared" si="119"/>
        <v>70</v>
      </c>
    </row>
    <row r="744" ht="15.75" customHeight="1">
      <c r="A744" s="62">
        <v>6993.0</v>
      </c>
      <c r="B744" s="147" t="s">
        <v>115</v>
      </c>
      <c r="C744" s="39"/>
      <c r="D744" s="22">
        <f>5*1.25*450</f>
        <v>2812.5</v>
      </c>
      <c r="E744" s="25">
        <f t="shared" si="119"/>
        <v>71</v>
      </c>
    </row>
    <row r="745" ht="15.75" customHeight="1">
      <c r="A745" s="62"/>
      <c r="B745" s="139" t="s">
        <v>19</v>
      </c>
      <c r="C745" s="31">
        <f t="shared" ref="C745:D745" si="120">SUM(C733:C744)</f>
        <v>71340</v>
      </c>
      <c r="D745" s="32">
        <f t="shared" si="120"/>
        <v>66355.65789</v>
      </c>
      <c r="E745" s="25"/>
    </row>
    <row r="746" ht="15.75" customHeight="1">
      <c r="A746" s="62"/>
      <c r="B746" s="139" t="s">
        <v>20</v>
      </c>
      <c r="C746" s="39"/>
      <c r="D746" s="32">
        <f>C745-D745</f>
        <v>4984.342105</v>
      </c>
      <c r="E746" s="25"/>
    </row>
    <row r="747" ht="15.75" customHeight="1">
      <c r="A747" s="140">
        <v>142318.0</v>
      </c>
      <c r="B747" s="141" t="s">
        <v>213</v>
      </c>
      <c r="C747" s="142"/>
      <c r="D747" s="143"/>
      <c r="E747" s="148"/>
    </row>
    <row r="748" ht="15.75" customHeight="1">
      <c r="A748" s="62">
        <v>3011.0</v>
      </c>
      <c r="B748" s="138" t="s">
        <v>22</v>
      </c>
      <c r="C748" s="39">
        <f>50*150</f>
        <v>7500</v>
      </c>
      <c r="D748" s="22"/>
      <c r="E748" s="25">
        <f>E744+1</f>
        <v>72</v>
      </c>
    </row>
    <row r="749" ht="15.75" hidden="1" customHeight="1">
      <c r="A749" s="62">
        <v>4012.0</v>
      </c>
      <c r="B749" s="138" t="s">
        <v>118</v>
      </c>
      <c r="C749" s="39"/>
      <c r="D749" s="29">
        <v>0.0</v>
      </c>
      <c r="E749" s="25">
        <f t="shared" ref="E749:E754" si="121">E748+1</f>
        <v>73</v>
      </c>
    </row>
    <row r="750" ht="15.75" hidden="1" customHeight="1">
      <c r="A750" s="62">
        <v>4013.0</v>
      </c>
      <c r="B750" s="138" t="s">
        <v>98</v>
      </c>
      <c r="C750" s="39"/>
      <c r="D750" s="22">
        <v>0.0</v>
      </c>
      <c r="E750" s="25">
        <f t="shared" si="121"/>
        <v>74</v>
      </c>
    </row>
    <row r="751" ht="15.75" customHeight="1">
      <c r="A751" s="62">
        <v>4047.0</v>
      </c>
      <c r="B751" s="138" t="s">
        <v>14</v>
      </c>
      <c r="C751" s="39"/>
      <c r="D751" s="22">
        <v>1800.0</v>
      </c>
      <c r="E751" s="25">
        <f t="shared" si="121"/>
        <v>75</v>
      </c>
    </row>
    <row r="752" ht="15.75" customHeight="1">
      <c r="A752" s="62">
        <v>4076.0</v>
      </c>
      <c r="B752" s="138" t="s">
        <v>29</v>
      </c>
      <c r="C752" s="39"/>
      <c r="D752" s="22">
        <f>1500+3900</f>
        <v>5400</v>
      </c>
      <c r="E752" s="25">
        <f t="shared" si="121"/>
        <v>76</v>
      </c>
    </row>
    <row r="753" ht="15.75" customHeight="1">
      <c r="A753" s="62">
        <v>6800.0</v>
      </c>
      <c r="B753" s="138" t="s">
        <v>114</v>
      </c>
      <c r="C753" s="39"/>
      <c r="D753" s="22">
        <f>3*547.5</f>
        <v>1642.5</v>
      </c>
      <c r="E753" s="25">
        <f t="shared" si="121"/>
        <v>77</v>
      </c>
    </row>
    <row r="754" ht="15.75" customHeight="1">
      <c r="A754" s="62">
        <v>6993.0</v>
      </c>
      <c r="B754" s="147" t="s">
        <v>115</v>
      </c>
      <c r="C754" s="39"/>
      <c r="D754" s="22">
        <f>50*12.5</f>
        <v>625</v>
      </c>
      <c r="E754" s="25">
        <f t="shared" si="121"/>
        <v>78</v>
      </c>
    </row>
    <row r="755" ht="15.75" customHeight="1">
      <c r="A755" s="62"/>
      <c r="B755" s="139" t="s">
        <v>19</v>
      </c>
      <c r="C755" s="31">
        <f t="shared" ref="C755:D755" si="122">SUM(C748:C754)</f>
        <v>7500</v>
      </c>
      <c r="D755" s="32">
        <f t="shared" si="122"/>
        <v>9467.5</v>
      </c>
      <c r="E755" s="25"/>
    </row>
    <row r="756" ht="15.75" customHeight="1">
      <c r="A756" s="62"/>
      <c r="B756" s="139" t="s">
        <v>20</v>
      </c>
      <c r="C756" s="39"/>
      <c r="D756" s="32">
        <f>SUM(C755-D755)</f>
        <v>-1967.5</v>
      </c>
      <c r="E756" s="25"/>
    </row>
    <row r="757" ht="15.75" customHeight="1">
      <c r="A757" s="140">
        <v>142319.0</v>
      </c>
      <c r="B757" s="141" t="s">
        <v>214</v>
      </c>
      <c r="C757" s="142"/>
      <c r="D757" s="143"/>
      <c r="E757" s="148"/>
    </row>
    <row r="758" ht="15.75" customHeight="1">
      <c r="A758" s="62">
        <v>3030.0</v>
      </c>
      <c r="B758" s="138" t="s">
        <v>117</v>
      </c>
      <c r="C758" s="39">
        <f>3000*1.13</f>
        <v>3390</v>
      </c>
      <c r="D758" s="22"/>
      <c r="E758" s="25">
        <f>E754+1</f>
        <v>79</v>
      </c>
    </row>
    <row r="759" ht="15.75" customHeight="1">
      <c r="A759" s="108">
        <v>4076.0</v>
      </c>
      <c r="B759" s="144" t="s">
        <v>29</v>
      </c>
      <c r="C759" s="39"/>
      <c r="D759" s="29">
        <v>700.0</v>
      </c>
      <c r="E759" s="25">
        <f t="shared" ref="E759:E760" si="123">E758+1</f>
        <v>80</v>
      </c>
    </row>
    <row r="760" ht="15.75" customHeight="1">
      <c r="A760" s="62">
        <v>4012.0</v>
      </c>
      <c r="B760" s="138" t="s">
        <v>118</v>
      </c>
      <c r="C760" s="39"/>
      <c r="D760" s="22">
        <f>C758/1.9</f>
        <v>1784.210526</v>
      </c>
      <c r="E760" s="25">
        <f t="shared" si="123"/>
        <v>81</v>
      </c>
    </row>
    <row r="761" ht="15.75" customHeight="1">
      <c r="A761" s="62"/>
      <c r="B761" s="138" t="s">
        <v>19</v>
      </c>
      <c r="C761" s="31">
        <f>SUM(C758:C760)</f>
        <v>3390</v>
      </c>
      <c r="D761" s="32">
        <f>sum(D758:D760)</f>
        <v>2484.210526</v>
      </c>
      <c r="E761" s="25"/>
    </row>
    <row r="762" ht="15.75" customHeight="1">
      <c r="A762" s="62"/>
      <c r="B762" s="138" t="s">
        <v>20</v>
      </c>
      <c r="C762" s="39"/>
      <c r="D762" s="32">
        <f>SUM(C761-D761)</f>
        <v>905.7894737</v>
      </c>
      <c r="E762" s="25"/>
    </row>
    <row r="763" ht="15.75" customHeight="1">
      <c r="A763" s="97">
        <v>142320.0</v>
      </c>
      <c r="B763" s="149" t="s">
        <v>215</v>
      </c>
      <c r="C763" s="112"/>
      <c r="D763" s="113"/>
      <c r="E763" s="114"/>
    </row>
    <row r="764" ht="15.75" hidden="1" customHeight="1">
      <c r="A764" s="150">
        <v>4047.0</v>
      </c>
      <c r="B764" s="139" t="s">
        <v>14</v>
      </c>
      <c r="C764" s="39"/>
      <c r="D764" s="22">
        <v>0.0</v>
      </c>
      <c r="E764" s="25">
        <f>E761+1</f>
        <v>1</v>
      </c>
    </row>
    <row r="765" ht="15.75" hidden="1" customHeight="1">
      <c r="A765" s="150"/>
      <c r="B765" s="139" t="s">
        <v>19</v>
      </c>
      <c r="C765" s="31">
        <f>sum(C764)</f>
        <v>0</v>
      </c>
      <c r="D765" s="32">
        <f t="shared" ref="D765:D766" si="124">SUM(D764)</f>
        <v>0</v>
      </c>
      <c r="E765" s="25"/>
    </row>
    <row r="766" ht="15.75" hidden="1" customHeight="1">
      <c r="A766" s="150"/>
      <c r="B766" s="139" t="s">
        <v>20</v>
      </c>
      <c r="C766" s="39"/>
      <c r="D766" s="32">
        <f t="shared" si="124"/>
        <v>0</v>
      </c>
      <c r="E766" s="25"/>
    </row>
    <row r="767" ht="15.75" customHeight="1">
      <c r="A767" s="97">
        <v>142321.0</v>
      </c>
      <c r="B767" s="149" t="s">
        <v>216</v>
      </c>
      <c r="C767" s="112"/>
      <c r="D767" s="113"/>
      <c r="E767" s="114"/>
    </row>
    <row r="768" ht="15.75" customHeight="1">
      <c r="A768" s="62">
        <v>3120.0</v>
      </c>
      <c r="B768" s="138" t="s">
        <v>8</v>
      </c>
      <c r="C768" s="39">
        <v>40000.0</v>
      </c>
      <c r="D768" s="22"/>
      <c r="E768" s="25">
        <f>E760+1</f>
        <v>82</v>
      </c>
    </row>
    <row r="769" ht="15.75" customHeight="1">
      <c r="A769" s="62">
        <v>3011.0</v>
      </c>
      <c r="B769" s="138" t="s">
        <v>22</v>
      </c>
      <c r="C769" s="39">
        <f>2*300*50</f>
        <v>30000</v>
      </c>
      <c r="D769" s="22"/>
      <c r="E769" s="25">
        <f t="shared" ref="E769:E777" si="125">E768+1</f>
        <v>83</v>
      </c>
    </row>
    <row r="770" ht="15.75" customHeight="1">
      <c r="A770" s="62">
        <v>3030.0</v>
      </c>
      <c r="B770" s="138" t="s">
        <v>117</v>
      </c>
      <c r="C770" s="39">
        <v>0.0</v>
      </c>
      <c r="D770" s="22"/>
      <c r="E770" s="25">
        <f t="shared" si="125"/>
        <v>84</v>
      </c>
    </row>
    <row r="771" ht="15.75" customHeight="1">
      <c r="A771" s="62">
        <v>4010.0</v>
      </c>
      <c r="B771" s="138" t="s">
        <v>48</v>
      </c>
      <c r="C771" s="39"/>
      <c r="D771" s="22">
        <f>10000*4</f>
        <v>40000</v>
      </c>
      <c r="E771" s="25">
        <f t="shared" si="125"/>
        <v>85</v>
      </c>
    </row>
    <row r="772" ht="15.75" customHeight="1">
      <c r="A772" s="62">
        <v>4012.0</v>
      </c>
      <c r="B772" s="138" t="s">
        <v>118</v>
      </c>
      <c r="C772" s="39"/>
      <c r="D772" s="22">
        <v>0.0</v>
      </c>
      <c r="E772" s="25">
        <f t="shared" si="125"/>
        <v>86</v>
      </c>
    </row>
    <row r="773" ht="15.75" customHeight="1">
      <c r="A773" s="62">
        <v>4047.0</v>
      </c>
      <c r="B773" s="138" t="s">
        <v>14</v>
      </c>
      <c r="C773" s="39"/>
      <c r="D773" s="22">
        <f>5000*2</f>
        <v>10000</v>
      </c>
      <c r="E773" s="25">
        <f t="shared" si="125"/>
        <v>87</v>
      </c>
    </row>
    <row r="774" ht="15.75" customHeight="1">
      <c r="A774" s="62">
        <v>4060.0</v>
      </c>
      <c r="B774" s="138" t="s">
        <v>27</v>
      </c>
      <c r="C774" s="39"/>
      <c r="D774" s="22">
        <f>550*2+80*2+200*6</f>
        <v>2460</v>
      </c>
      <c r="E774" s="25">
        <f t="shared" si="125"/>
        <v>88</v>
      </c>
    </row>
    <row r="775" ht="15.75" hidden="1" customHeight="1">
      <c r="A775" s="62">
        <v>4063.0</v>
      </c>
      <c r="B775" s="138" t="s">
        <v>70</v>
      </c>
      <c r="C775" s="39"/>
      <c r="D775" s="22">
        <v>0.0</v>
      </c>
      <c r="E775" s="25">
        <f t="shared" si="125"/>
        <v>89</v>
      </c>
    </row>
    <row r="776" ht="15.75" customHeight="1">
      <c r="A776" s="62">
        <v>4082.0</v>
      </c>
      <c r="B776" s="138" t="s">
        <v>45</v>
      </c>
      <c r="C776" s="39"/>
      <c r="D776" s="22">
        <f>200*2+100*6</f>
        <v>1000</v>
      </c>
      <c r="E776" s="25">
        <f t="shared" si="125"/>
        <v>90</v>
      </c>
    </row>
    <row r="777" ht="15.75" customHeight="1">
      <c r="A777" s="62">
        <v>4190.0</v>
      </c>
      <c r="B777" s="138" t="s">
        <v>32</v>
      </c>
      <c r="C777" s="39"/>
      <c r="D777" s="22">
        <f>2*500+300*6</f>
        <v>2800</v>
      </c>
      <c r="E777" s="25">
        <f t="shared" si="125"/>
        <v>91</v>
      </c>
    </row>
    <row r="778" ht="15.75" customHeight="1">
      <c r="A778" s="150"/>
      <c r="B778" s="139" t="s">
        <v>19</v>
      </c>
      <c r="C778" s="31">
        <f t="shared" ref="C778:D778" si="126">sum(C768:C777)</f>
        <v>70000</v>
      </c>
      <c r="D778" s="32">
        <f t="shared" si="126"/>
        <v>56260</v>
      </c>
      <c r="E778" s="25"/>
    </row>
    <row r="779" ht="15.75" customHeight="1">
      <c r="A779" s="150"/>
      <c r="B779" s="139" t="s">
        <v>20</v>
      </c>
      <c r="C779" s="39"/>
      <c r="D779" s="32">
        <f>C778-D778</f>
        <v>13740</v>
      </c>
      <c r="E779" s="25"/>
    </row>
    <row r="780" ht="15.75" customHeight="1">
      <c r="A780" s="97">
        <v>142322.0</v>
      </c>
      <c r="B780" s="149" t="s">
        <v>217</v>
      </c>
      <c r="C780" s="112"/>
      <c r="D780" s="113"/>
      <c r="E780" s="114"/>
    </row>
    <row r="781" ht="15.75" customHeight="1">
      <c r="A781" s="19">
        <v>3011.0</v>
      </c>
      <c r="B781" s="151" t="s">
        <v>22</v>
      </c>
      <c r="C781" s="39">
        <f>100*20+40*40+70*20</f>
        <v>5000</v>
      </c>
      <c r="D781" s="22"/>
      <c r="E781" s="25">
        <f>E777+1</f>
        <v>92</v>
      </c>
    </row>
    <row r="782" ht="15.75" customHeight="1">
      <c r="A782" s="152">
        <v>3030.0</v>
      </c>
      <c r="B782" s="153" t="s">
        <v>117</v>
      </c>
      <c r="C782" s="21">
        <v>0.0</v>
      </c>
      <c r="D782" s="22"/>
      <c r="E782" s="25">
        <f t="shared" ref="E782:E791" si="127">E781+1</f>
        <v>93</v>
      </c>
    </row>
    <row r="783" ht="15.75" customHeight="1">
      <c r="A783" s="152">
        <v>3110.0</v>
      </c>
      <c r="B783" s="153" t="s">
        <v>111</v>
      </c>
      <c r="C783" s="26">
        <v>5000.0</v>
      </c>
      <c r="D783" s="22"/>
      <c r="E783" s="25">
        <f t="shared" si="127"/>
        <v>94</v>
      </c>
    </row>
    <row r="784" ht="15.75" customHeight="1">
      <c r="A784" s="154">
        <v>4012.0</v>
      </c>
      <c r="B784" s="153" t="s">
        <v>118</v>
      </c>
      <c r="C784" s="39"/>
      <c r="D784" s="22">
        <f>C782/1.9</f>
        <v>0</v>
      </c>
      <c r="E784" s="25">
        <f t="shared" si="127"/>
        <v>95</v>
      </c>
    </row>
    <row r="785" ht="15.75" customHeight="1">
      <c r="A785" s="154">
        <v>4047.0</v>
      </c>
      <c r="B785" s="153" t="s">
        <v>14</v>
      </c>
      <c r="C785" s="39"/>
      <c r="D785" s="29">
        <v>5000.0</v>
      </c>
      <c r="E785" s="25">
        <f t="shared" si="127"/>
        <v>96</v>
      </c>
    </row>
    <row r="786" ht="15.75" customHeight="1">
      <c r="A786" s="154">
        <v>4060.0</v>
      </c>
      <c r="B786" s="153" t="s">
        <v>27</v>
      </c>
      <c r="C786" s="39"/>
      <c r="D786" s="22">
        <f>6*200</f>
        <v>1200</v>
      </c>
      <c r="E786" s="25">
        <f t="shared" si="127"/>
        <v>97</v>
      </c>
    </row>
    <row r="787" ht="15.75" customHeight="1">
      <c r="A787" s="154">
        <v>4063.0</v>
      </c>
      <c r="B787" s="153" t="s">
        <v>70</v>
      </c>
      <c r="C787" s="39"/>
      <c r="D787" s="22">
        <v>0.0</v>
      </c>
      <c r="E787" s="25">
        <f t="shared" si="127"/>
        <v>98</v>
      </c>
    </row>
    <row r="788" ht="15.75" customHeight="1">
      <c r="A788" s="154">
        <v>4076.0</v>
      </c>
      <c r="B788" s="153" t="s">
        <v>29</v>
      </c>
      <c r="C788" s="39"/>
      <c r="D788" s="22">
        <f>25*2*75+3300</f>
        <v>7050</v>
      </c>
      <c r="E788" s="25">
        <f t="shared" si="127"/>
        <v>99</v>
      </c>
    </row>
    <row r="789" ht="15.75" customHeight="1">
      <c r="A789" s="154">
        <v>4078.0</v>
      </c>
      <c r="B789" s="153" t="s">
        <v>30</v>
      </c>
      <c r="C789" s="31"/>
      <c r="D789" s="29">
        <v>1000.0</v>
      </c>
      <c r="E789" s="25">
        <f t="shared" si="127"/>
        <v>100</v>
      </c>
    </row>
    <row r="790" ht="15.75" customHeight="1">
      <c r="A790" s="154">
        <v>4082.0</v>
      </c>
      <c r="B790" s="153" t="s">
        <v>45</v>
      </c>
      <c r="C790" s="31"/>
      <c r="D790" s="22">
        <f>200+100*5</f>
        <v>700</v>
      </c>
      <c r="E790" s="25">
        <f t="shared" si="127"/>
        <v>101</v>
      </c>
    </row>
    <row r="791" ht="15.75" customHeight="1">
      <c r="A791" s="154">
        <v>4190.0</v>
      </c>
      <c r="B791" s="153" t="s">
        <v>32</v>
      </c>
      <c r="C791" s="31"/>
      <c r="D791" s="22">
        <f>400+5*300</f>
        <v>1900</v>
      </c>
      <c r="E791" s="25">
        <f t="shared" si="127"/>
        <v>102</v>
      </c>
    </row>
    <row r="792" ht="15.75" customHeight="1">
      <c r="A792" s="101"/>
      <c r="B792" s="139" t="s">
        <v>19</v>
      </c>
      <c r="C792" s="31">
        <f t="shared" ref="C792:D792" si="128">SUM(C781:C791)</f>
        <v>10000</v>
      </c>
      <c r="D792" s="32">
        <f t="shared" si="128"/>
        <v>16850</v>
      </c>
      <c r="E792" s="25"/>
    </row>
    <row r="793" ht="15.75" customHeight="1">
      <c r="A793" s="101"/>
      <c r="B793" s="139" t="s">
        <v>20</v>
      </c>
      <c r="C793" s="39"/>
      <c r="D793" s="32">
        <f>C792-D792</f>
        <v>-6850</v>
      </c>
      <c r="E793" s="25"/>
    </row>
    <row r="794" ht="15.75" customHeight="1">
      <c r="A794" s="128">
        <v>142302.0</v>
      </c>
      <c r="B794" s="155" t="s">
        <v>218</v>
      </c>
      <c r="C794" s="41"/>
      <c r="D794" s="42"/>
      <c r="E794" s="43"/>
    </row>
    <row r="795" ht="15.75" customHeight="1">
      <c r="A795" s="62">
        <v>3011.0</v>
      </c>
      <c r="B795" s="98" t="s">
        <v>22</v>
      </c>
      <c r="C795" s="156">
        <f>100*150+100*70</f>
        <v>22000</v>
      </c>
      <c r="D795" s="22"/>
      <c r="E795" s="25">
        <f>E791+1</f>
        <v>103</v>
      </c>
    </row>
    <row r="796" ht="15.75" customHeight="1">
      <c r="A796" s="62">
        <v>3030.0</v>
      </c>
      <c r="B796" s="98" t="s">
        <v>117</v>
      </c>
      <c r="C796" s="156">
        <f>20000*1.13</f>
        <v>22600</v>
      </c>
      <c r="D796" s="22"/>
      <c r="E796" s="25">
        <f t="shared" ref="E796:E804" si="129">E795+1</f>
        <v>104</v>
      </c>
    </row>
    <row r="797" ht="15.75" customHeight="1">
      <c r="A797" s="62">
        <v>4012.0</v>
      </c>
      <c r="B797" s="98" t="s">
        <v>118</v>
      </c>
      <c r="C797" s="39"/>
      <c r="D797" s="22">
        <f>C796/1.9</f>
        <v>11894.73684</v>
      </c>
      <c r="E797" s="25">
        <f t="shared" si="129"/>
        <v>105</v>
      </c>
    </row>
    <row r="798" ht="15.75" customHeight="1">
      <c r="A798" s="62">
        <v>4013.0</v>
      </c>
      <c r="B798" s="98" t="s">
        <v>98</v>
      </c>
      <c r="C798" s="39"/>
      <c r="D798" s="22">
        <f>19*40</f>
        <v>760</v>
      </c>
      <c r="E798" s="25">
        <f t="shared" si="129"/>
        <v>106</v>
      </c>
    </row>
    <row r="799" ht="15.75" customHeight="1">
      <c r="A799" s="108">
        <v>4040.0</v>
      </c>
      <c r="B799" s="127" t="s">
        <v>24</v>
      </c>
      <c r="C799" s="39"/>
      <c r="D799" s="22">
        <v>300.0</v>
      </c>
      <c r="E799" s="25">
        <f t="shared" si="129"/>
        <v>107</v>
      </c>
    </row>
    <row r="800" ht="15.75" customHeight="1">
      <c r="A800" s="62">
        <v>4047.0</v>
      </c>
      <c r="B800" s="98" t="s">
        <v>14</v>
      </c>
      <c r="C800" s="39"/>
      <c r="D800" s="57">
        <f>2000+4500</f>
        <v>6500</v>
      </c>
      <c r="E800" s="25">
        <f t="shared" si="129"/>
        <v>108</v>
      </c>
    </row>
    <row r="801" ht="15.75" customHeight="1">
      <c r="A801" s="62">
        <v>4076.0</v>
      </c>
      <c r="B801" s="98" t="s">
        <v>29</v>
      </c>
      <c r="C801" s="39"/>
      <c r="D801" s="57">
        <f>100*100</f>
        <v>10000</v>
      </c>
      <c r="E801" s="25">
        <f t="shared" si="129"/>
        <v>109</v>
      </c>
    </row>
    <row r="802" ht="15.75" customHeight="1">
      <c r="A802" s="62">
        <v>4078.0</v>
      </c>
      <c r="B802" s="98" t="s">
        <v>30</v>
      </c>
      <c r="C802" s="39"/>
      <c r="D802" s="157">
        <v>1000.0</v>
      </c>
      <c r="E802" s="25">
        <f t="shared" si="129"/>
        <v>110</v>
      </c>
    </row>
    <row r="803" ht="15.75" customHeight="1">
      <c r="A803" s="62">
        <v>6800.0</v>
      </c>
      <c r="B803" s="98" t="s">
        <v>114</v>
      </c>
      <c r="C803" s="39"/>
      <c r="D803" s="57">
        <f>(3*3*547.5)+(5*4*547.5)</f>
        <v>15877.5</v>
      </c>
      <c r="E803" s="25">
        <f t="shared" si="129"/>
        <v>111</v>
      </c>
    </row>
    <row r="804" ht="15.75" customHeight="1">
      <c r="A804" s="62">
        <v>6993.0</v>
      </c>
      <c r="B804" s="105" t="s">
        <v>115</v>
      </c>
      <c r="C804" s="39"/>
      <c r="D804" s="57">
        <f>12.5*120+7*130</f>
        <v>2410</v>
      </c>
      <c r="E804" s="25">
        <f t="shared" si="129"/>
        <v>112</v>
      </c>
    </row>
    <row r="805" ht="15.75" customHeight="1">
      <c r="A805" s="62"/>
      <c r="B805" s="106" t="s">
        <v>19</v>
      </c>
      <c r="C805" s="31">
        <f t="shared" ref="C805:D805" si="130">SUM(C795:C804)</f>
        <v>44600</v>
      </c>
      <c r="D805" s="32">
        <f t="shared" si="130"/>
        <v>48742.23684</v>
      </c>
      <c r="E805" s="25"/>
    </row>
    <row r="806" ht="15.75" customHeight="1">
      <c r="A806" s="101"/>
      <c r="B806" s="106" t="s">
        <v>20</v>
      </c>
      <c r="C806" s="39"/>
      <c r="D806" s="32">
        <f>C805-D805</f>
        <v>-4142.236842</v>
      </c>
      <c r="E806" s="40"/>
    </row>
    <row r="807" ht="15.75" customHeight="1">
      <c r="A807" s="97">
        <v>142323.0</v>
      </c>
      <c r="B807" s="149" t="s">
        <v>219</v>
      </c>
      <c r="C807" s="112"/>
      <c r="D807" s="113"/>
      <c r="E807" s="114"/>
    </row>
    <row r="808" ht="15.75" hidden="1" customHeight="1">
      <c r="A808" s="19">
        <v>3110.0</v>
      </c>
      <c r="B808" s="158" t="s">
        <v>111</v>
      </c>
      <c r="C808" s="39">
        <v>0.0</v>
      </c>
      <c r="D808" s="22"/>
      <c r="E808" s="159">
        <f>E804+1</f>
        <v>113</v>
      </c>
    </row>
    <row r="809" ht="15.75" customHeight="1">
      <c r="A809" s="152">
        <v>4040.0</v>
      </c>
      <c r="B809" s="160" t="s">
        <v>24</v>
      </c>
      <c r="C809" s="39"/>
      <c r="D809" s="22">
        <f>2*100</f>
        <v>200</v>
      </c>
      <c r="E809" s="25">
        <f>E804+1</f>
        <v>113</v>
      </c>
    </row>
    <row r="810" ht="15.75" customHeight="1">
      <c r="A810" s="152">
        <v>4047.0</v>
      </c>
      <c r="B810" s="160" t="s">
        <v>14</v>
      </c>
      <c r="C810" s="39"/>
      <c r="D810" s="22">
        <v>0.0</v>
      </c>
      <c r="E810" s="25">
        <f t="shared" ref="E810:E814" si="131">E809+1</f>
        <v>114</v>
      </c>
    </row>
    <row r="811" ht="15.75" customHeight="1">
      <c r="A811" s="152">
        <v>4060.0</v>
      </c>
      <c r="B811" s="160" t="s">
        <v>27</v>
      </c>
      <c r="C811" s="39"/>
      <c r="D811" s="22">
        <f>200*6</f>
        <v>1200</v>
      </c>
      <c r="E811" s="25">
        <f t="shared" si="131"/>
        <v>115</v>
      </c>
    </row>
    <row r="812" ht="15.75" customHeight="1">
      <c r="A812" s="152">
        <v>4076.0</v>
      </c>
      <c r="B812" s="160" t="s">
        <v>29</v>
      </c>
      <c r="C812" s="39"/>
      <c r="D812" s="22">
        <f>75*40*3+40*10*3</f>
        <v>10200</v>
      </c>
      <c r="E812" s="25">
        <f t="shared" si="131"/>
        <v>116</v>
      </c>
    </row>
    <row r="813" ht="15.75" customHeight="1">
      <c r="A813" s="152">
        <v>4082.0</v>
      </c>
      <c r="B813" s="160" t="s">
        <v>45</v>
      </c>
      <c r="C813" s="39"/>
      <c r="D813" s="22">
        <f>100*6</f>
        <v>600</v>
      </c>
      <c r="E813" s="25">
        <f t="shared" si="131"/>
        <v>117</v>
      </c>
    </row>
    <row r="814" ht="15.75" customHeight="1">
      <c r="A814" s="152">
        <v>4190.0</v>
      </c>
      <c r="B814" s="160" t="s">
        <v>32</v>
      </c>
      <c r="C814" s="39"/>
      <c r="D814" s="22">
        <f>300*2+200*4</f>
        <v>1400</v>
      </c>
      <c r="E814" s="25">
        <f t="shared" si="131"/>
        <v>118</v>
      </c>
    </row>
    <row r="815" ht="15.75" customHeight="1">
      <c r="A815" s="101"/>
      <c r="B815" s="139" t="s">
        <v>19</v>
      </c>
      <c r="C815" s="31">
        <f t="shared" ref="C815:D815" si="132">sum(C808:C814)</f>
        <v>0</v>
      </c>
      <c r="D815" s="32">
        <f t="shared" si="132"/>
        <v>13600</v>
      </c>
      <c r="E815" s="25"/>
    </row>
    <row r="816" ht="15.75" customHeight="1">
      <c r="A816" s="101"/>
      <c r="B816" s="139" t="s">
        <v>20</v>
      </c>
      <c r="C816" s="39"/>
      <c r="D816" s="32">
        <f>C815-D815</f>
        <v>-13600</v>
      </c>
      <c r="E816" s="25"/>
    </row>
    <row r="817" ht="15.75" customHeight="1">
      <c r="A817" s="34">
        <v>142324.0</v>
      </c>
      <c r="B817" s="161" t="s">
        <v>220</v>
      </c>
      <c r="C817" s="35"/>
      <c r="D817" s="13"/>
      <c r="E817" s="37"/>
    </row>
    <row r="818" ht="15.75" customHeight="1">
      <c r="A818" s="152">
        <v>3110.0</v>
      </c>
      <c r="B818" s="160" t="s">
        <v>111</v>
      </c>
      <c r="C818" s="39">
        <v>0.0</v>
      </c>
      <c r="D818" s="22"/>
      <c r="E818" s="25">
        <f>E814+1</f>
        <v>119</v>
      </c>
    </row>
    <row r="819" ht="15.75" customHeight="1">
      <c r="A819" s="152">
        <v>4047.0</v>
      </c>
      <c r="B819" s="160" t="s">
        <v>14</v>
      </c>
      <c r="C819" s="39"/>
      <c r="D819" s="22">
        <v>0.0</v>
      </c>
      <c r="E819" s="25">
        <f t="shared" ref="E819:E824" si="133">E818+1</f>
        <v>120</v>
      </c>
    </row>
    <row r="820" ht="15.75" customHeight="1">
      <c r="A820" s="152">
        <v>4060.0</v>
      </c>
      <c r="B820" s="160" t="s">
        <v>27</v>
      </c>
      <c r="C820" s="39"/>
      <c r="D820" s="22">
        <f>2*200</f>
        <v>400</v>
      </c>
      <c r="E820" s="25">
        <f t="shared" si="133"/>
        <v>121</v>
      </c>
    </row>
    <row r="821" ht="15.75" customHeight="1">
      <c r="A821" s="152">
        <v>4063.0</v>
      </c>
      <c r="B821" s="160" t="s">
        <v>70</v>
      </c>
      <c r="C821" s="39"/>
      <c r="D821" s="22">
        <v>0.0</v>
      </c>
      <c r="E821" s="25">
        <f t="shared" si="133"/>
        <v>122</v>
      </c>
    </row>
    <row r="822" ht="15.75" customHeight="1">
      <c r="A822" s="152">
        <v>4076.0</v>
      </c>
      <c r="B822" s="160" t="s">
        <v>29</v>
      </c>
      <c r="C822" s="39"/>
      <c r="D822" s="22">
        <f>15*40+4*30*40+120*15</f>
        <v>7200</v>
      </c>
      <c r="E822" s="25">
        <f t="shared" si="133"/>
        <v>123</v>
      </c>
    </row>
    <row r="823" ht="15.75" customHeight="1">
      <c r="A823" s="152">
        <v>4082.0</v>
      </c>
      <c r="B823" s="160" t="s">
        <v>45</v>
      </c>
      <c r="C823" s="39"/>
      <c r="D823" s="22">
        <v>200.0</v>
      </c>
      <c r="E823" s="25">
        <f t="shared" si="133"/>
        <v>124</v>
      </c>
    </row>
    <row r="824" ht="15.75" customHeight="1">
      <c r="A824" s="152">
        <v>4190.0</v>
      </c>
      <c r="B824" s="160" t="s">
        <v>32</v>
      </c>
      <c r="C824" s="39"/>
      <c r="D824" s="22">
        <f>2*300+15*100</f>
        <v>2100</v>
      </c>
      <c r="E824" s="25">
        <f t="shared" si="133"/>
        <v>125</v>
      </c>
    </row>
    <row r="825" ht="15.75" customHeight="1">
      <c r="A825" s="101"/>
      <c r="B825" s="139" t="s">
        <v>19</v>
      </c>
      <c r="C825" s="31">
        <f t="shared" ref="C825:D825" si="134">SUM(C818:C824)</f>
        <v>0</v>
      </c>
      <c r="D825" s="32">
        <f t="shared" si="134"/>
        <v>9900</v>
      </c>
      <c r="E825" s="40"/>
    </row>
    <row r="826" ht="15.75" customHeight="1">
      <c r="A826" s="101"/>
      <c r="B826" s="139" t="s">
        <v>20</v>
      </c>
      <c r="C826" s="39"/>
      <c r="D826" s="32">
        <f>C825-D825</f>
        <v>-9900</v>
      </c>
      <c r="E826" s="40"/>
    </row>
    <row r="827" ht="15.75" customHeight="1">
      <c r="A827" s="34">
        <v>142325.0</v>
      </c>
      <c r="B827" s="162" t="s">
        <v>221</v>
      </c>
      <c r="C827" s="35"/>
      <c r="D827" s="13"/>
      <c r="E827" s="37"/>
    </row>
    <row r="828" ht="15.75" customHeight="1">
      <c r="A828" s="152">
        <v>4047.0</v>
      </c>
      <c r="B828" s="160" t="s">
        <v>14</v>
      </c>
      <c r="C828" s="39"/>
      <c r="D828" s="22">
        <f>2*60*120</f>
        <v>14400</v>
      </c>
      <c r="E828" s="25">
        <f>E824+1</f>
        <v>126</v>
      </c>
    </row>
    <row r="829" ht="15.75" customHeight="1">
      <c r="A829" s="101"/>
      <c r="B829" s="139" t="s">
        <v>19</v>
      </c>
      <c r="C829" s="31">
        <f t="shared" ref="C829:D829" si="135">SUM(C828)</f>
        <v>0</v>
      </c>
      <c r="D829" s="32">
        <f t="shared" si="135"/>
        <v>14400</v>
      </c>
      <c r="E829" s="40"/>
    </row>
    <row r="830" ht="15.75" customHeight="1">
      <c r="A830" s="101"/>
      <c r="B830" s="139" t="s">
        <v>20</v>
      </c>
      <c r="C830" s="39"/>
      <c r="D830" s="32">
        <f>C829-D829</f>
        <v>-14400</v>
      </c>
      <c r="E830" s="40"/>
    </row>
    <row r="831" ht="15.75" customHeight="1">
      <c r="A831" s="34">
        <v>142326.0</v>
      </c>
      <c r="B831" s="162" t="s">
        <v>222</v>
      </c>
      <c r="C831" s="35"/>
      <c r="D831" s="13"/>
      <c r="E831" s="37"/>
    </row>
    <row r="832" ht="15.75" customHeight="1">
      <c r="A832" s="163">
        <v>4076.0</v>
      </c>
      <c r="B832" s="164" t="s">
        <v>29</v>
      </c>
      <c r="C832" s="39">
        <v>0.0</v>
      </c>
      <c r="D832" s="22">
        <f>500*2</f>
        <v>1000</v>
      </c>
      <c r="E832" s="165">
        <v>127.0</v>
      </c>
    </row>
    <row r="833" ht="15.75" customHeight="1">
      <c r="A833" s="101"/>
      <c r="B833" s="139" t="s">
        <v>19</v>
      </c>
      <c r="C833" s="166">
        <f>C832</f>
        <v>0</v>
      </c>
      <c r="D833" s="32">
        <f>sum(D832)</f>
        <v>1000</v>
      </c>
      <c r="E833" s="40"/>
    </row>
    <row r="834" ht="15.75" customHeight="1">
      <c r="A834" s="101"/>
      <c r="B834" s="139" t="s">
        <v>20</v>
      </c>
      <c r="C834" s="39"/>
      <c r="D834" s="32">
        <f>C833-D833</f>
        <v>-1000</v>
      </c>
      <c r="E834" s="40"/>
    </row>
    <row r="835" ht="15.75" customHeight="1">
      <c r="A835" s="10"/>
      <c r="B835" s="58" t="s">
        <v>223</v>
      </c>
      <c r="C835" s="12">
        <f t="shared" ref="C835:D835" si="136">C532+C539+C551+C567+C587+C602+C621+C637+C646+C664+C681+C694+C714+C730+C745+C755+C761+C765+C778+C792+C815+C825+C805+C829+C833</f>
        <v>416435</v>
      </c>
      <c r="D835" s="13">
        <f t="shared" si="136"/>
        <v>511662.3684</v>
      </c>
      <c r="E835" s="37"/>
    </row>
    <row r="836" ht="15.75" customHeight="1">
      <c r="A836" s="10"/>
      <c r="B836" s="58" t="s">
        <v>224</v>
      </c>
      <c r="C836" s="12"/>
      <c r="D836" s="13">
        <f>C835-D835</f>
        <v>-95227.36842</v>
      </c>
      <c r="E836" s="37"/>
    </row>
    <row r="837" ht="15.75" customHeight="1">
      <c r="A837" s="62"/>
      <c r="B837" s="63"/>
      <c r="C837" s="64"/>
      <c r="D837" s="65"/>
      <c r="E837" s="25"/>
    </row>
    <row r="838" ht="15.75" customHeight="1">
      <c r="A838" s="62"/>
      <c r="B838" s="63"/>
      <c r="C838" s="64"/>
      <c r="D838" s="65"/>
      <c r="E838" s="25"/>
    </row>
    <row r="839" ht="15.75" customHeight="1">
      <c r="A839" s="167">
        <v>15.0</v>
      </c>
      <c r="B839" s="15" t="s">
        <v>225</v>
      </c>
      <c r="C839" s="16" t="s">
        <v>6</v>
      </c>
      <c r="D839" s="5"/>
      <c r="E839" s="9"/>
    </row>
    <row r="840" ht="15.75" customHeight="1">
      <c r="A840" s="97">
        <v>152300.0</v>
      </c>
      <c r="B840" s="126" t="s">
        <v>141</v>
      </c>
      <c r="C840" s="12" t="s">
        <v>2</v>
      </c>
      <c r="D840" s="13" t="s">
        <v>3</v>
      </c>
      <c r="E840" s="14" t="s">
        <v>4</v>
      </c>
    </row>
    <row r="841" ht="15.75" customHeight="1">
      <c r="A841" s="99">
        <v>3110.0</v>
      </c>
      <c r="B841" s="100" t="s">
        <v>111</v>
      </c>
      <c r="C841" s="68">
        <v>0.0</v>
      </c>
      <c r="D841" s="22"/>
      <c r="E841" s="25">
        <v>1.0</v>
      </c>
    </row>
    <row r="842" ht="15.75" customHeight="1">
      <c r="A842" s="101">
        <v>3011.0</v>
      </c>
      <c r="B842" s="102" t="s">
        <v>22</v>
      </c>
      <c r="C842" s="39">
        <v>0.0</v>
      </c>
      <c r="D842" s="22"/>
      <c r="E842" s="25">
        <f t="shared" ref="E842:E849" si="137">E841+1</f>
        <v>2</v>
      </c>
    </row>
    <row r="843" ht="15.75" customHeight="1">
      <c r="A843" s="101">
        <v>4010.0</v>
      </c>
      <c r="B843" s="102" t="s">
        <v>48</v>
      </c>
      <c r="C843" s="39"/>
      <c r="D843" s="22">
        <v>0.0</v>
      </c>
      <c r="E843" s="25">
        <f t="shared" si="137"/>
        <v>3</v>
      </c>
    </row>
    <row r="844" ht="15.75" customHeight="1">
      <c r="A844" s="99">
        <v>4042.0</v>
      </c>
      <c r="B844" s="100" t="s">
        <v>67</v>
      </c>
      <c r="C844" s="39"/>
      <c r="D844" s="22">
        <v>1000.0</v>
      </c>
      <c r="E844" s="25">
        <f t="shared" si="137"/>
        <v>4</v>
      </c>
    </row>
    <row r="845" ht="15.75" customHeight="1">
      <c r="A845" s="99">
        <v>4047.0</v>
      </c>
      <c r="B845" s="100" t="s">
        <v>14</v>
      </c>
      <c r="C845" s="39"/>
      <c r="D845" s="22">
        <v>0.0</v>
      </c>
      <c r="E845" s="25">
        <f t="shared" si="137"/>
        <v>5</v>
      </c>
    </row>
    <row r="846" ht="15.75" customHeight="1">
      <c r="A846" s="99">
        <v>4050.0</v>
      </c>
      <c r="B846" s="100" t="s">
        <v>42</v>
      </c>
      <c r="C846" s="39"/>
      <c r="D846" s="22">
        <f>sumif($A$841:$A$999,"=4190",D841:D999)*0.3</f>
        <v>5970</v>
      </c>
      <c r="E846" s="25">
        <f t="shared" si="137"/>
        <v>6</v>
      </c>
    </row>
    <row r="847" ht="15.75" customHeight="1">
      <c r="A847" s="99">
        <v>4060.0</v>
      </c>
      <c r="B847" s="100" t="s">
        <v>27</v>
      </c>
      <c r="C847" s="39"/>
      <c r="D847" s="22">
        <f>7*550+7*80+50*7</f>
        <v>4760</v>
      </c>
      <c r="E847" s="25">
        <f t="shared" si="137"/>
        <v>7</v>
      </c>
    </row>
    <row r="848" ht="15.75" customHeight="1">
      <c r="A848" s="99">
        <v>4063.0</v>
      </c>
      <c r="B848" s="100" t="s">
        <v>70</v>
      </c>
      <c r="C848" s="39"/>
      <c r="D848" s="22">
        <f>800</f>
        <v>800</v>
      </c>
      <c r="E848" s="25">
        <f t="shared" si="137"/>
        <v>8</v>
      </c>
    </row>
    <row r="849" ht="15.75" customHeight="1">
      <c r="A849" s="99">
        <v>4065.0</v>
      </c>
      <c r="B849" s="100" t="s">
        <v>16</v>
      </c>
      <c r="C849" s="39"/>
      <c r="D849" s="22">
        <v>1000.0</v>
      </c>
      <c r="E849" s="25">
        <f t="shared" si="137"/>
        <v>9</v>
      </c>
    </row>
    <row r="850" ht="15.75" customHeight="1">
      <c r="A850" s="122">
        <v>3076.0</v>
      </c>
      <c r="B850" s="104" t="s">
        <v>226</v>
      </c>
      <c r="C850" s="26">
        <v>0.0</v>
      </c>
      <c r="D850" s="22"/>
      <c r="E850" s="25">
        <v>10.0</v>
      </c>
    </row>
    <row r="851" ht="15.75" customHeight="1">
      <c r="A851" s="122">
        <v>4076.0</v>
      </c>
      <c r="B851" s="104" t="s">
        <v>29</v>
      </c>
      <c r="C851" s="39"/>
      <c r="D851" s="29">
        <v>2000.0</v>
      </c>
      <c r="E851" s="25">
        <f t="shared" ref="E851:E864" si="138">E850+1</f>
        <v>11</v>
      </c>
    </row>
    <row r="852" ht="15.75" customHeight="1">
      <c r="A852" s="99">
        <v>4080.0</v>
      </c>
      <c r="B852" s="100" t="s">
        <v>31</v>
      </c>
      <c r="C852" s="39"/>
      <c r="D852" s="22">
        <v>4000.0</v>
      </c>
      <c r="E852" s="25">
        <f t="shared" si="138"/>
        <v>12</v>
      </c>
    </row>
    <row r="853" ht="15.75" customHeight="1">
      <c r="A853" s="62">
        <v>4081.0</v>
      </c>
      <c r="B853" s="103" t="s">
        <v>44</v>
      </c>
      <c r="C853" s="39"/>
      <c r="D853" s="22">
        <v>1000.0</v>
      </c>
      <c r="E853" s="25">
        <f t="shared" si="138"/>
        <v>13</v>
      </c>
    </row>
    <row r="854" ht="15.75" customHeight="1">
      <c r="A854" s="99">
        <v>4082.0</v>
      </c>
      <c r="B854" s="100" t="s">
        <v>45</v>
      </c>
      <c r="C854" s="39"/>
      <c r="D854" s="22">
        <f>200*6+400</f>
        <v>1600</v>
      </c>
      <c r="E854" s="25">
        <f t="shared" si="138"/>
        <v>14</v>
      </c>
    </row>
    <row r="855" ht="15.75" customHeight="1">
      <c r="A855" s="99">
        <v>4190.0</v>
      </c>
      <c r="B855" s="100" t="s">
        <v>32</v>
      </c>
      <c r="C855" s="39"/>
      <c r="D855" s="22">
        <f>1*1000+6*600+2*100</f>
        <v>4800</v>
      </c>
      <c r="E855" s="25">
        <f t="shared" si="138"/>
        <v>15</v>
      </c>
    </row>
    <row r="856" ht="15.75" customHeight="1">
      <c r="A856" s="99">
        <v>5050.0</v>
      </c>
      <c r="B856" s="100" t="s">
        <v>33</v>
      </c>
      <c r="C856" s="39"/>
      <c r="D856" s="22">
        <v>2500.0</v>
      </c>
      <c r="E856" s="25">
        <f t="shared" si="138"/>
        <v>16</v>
      </c>
    </row>
    <row r="857" ht="15.75" customHeight="1">
      <c r="A857" s="99">
        <v>5420.0</v>
      </c>
      <c r="B857" s="100" t="s">
        <v>134</v>
      </c>
      <c r="C857" s="39"/>
      <c r="D857" s="22">
        <f>3200*2+1200+2070+900+1300*2+135</f>
        <v>13305</v>
      </c>
      <c r="E857" s="25">
        <f t="shared" si="138"/>
        <v>17</v>
      </c>
    </row>
    <row r="858" ht="15.75" customHeight="1">
      <c r="A858" s="99">
        <v>5461.0</v>
      </c>
      <c r="B858" s="100" t="s">
        <v>84</v>
      </c>
      <c r="C858" s="39"/>
      <c r="D858" s="29">
        <f>12000</f>
        <v>12000</v>
      </c>
      <c r="E858" s="25">
        <f t="shared" si="138"/>
        <v>18</v>
      </c>
    </row>
    <row r="859" ht="15.75" customHeight="1">
      <c r="A859" s="99">
        <v>5501.0</v>
      </c>
      <c r="B859" s="100" t="s">
        <v>106</v>
      </c>
      <c r="C859" s="39"/>
      <c r="D859" s="22">
        <v>0.0</v>
      </c>
      <c r="E859" s="25">
        <f t="shared" si="138"/>
        <v>19</v>
      </c>
    </row>
    <row r="860" ht="15.75" customHeight="1">
      <c r="A860" s="99">
        <v>6070.0</v>
      </c>
      <c r="B860" s="100" t="s">
        <v>35</v>
      </c>
      <c r="C860" s="39"/>
      <c r="D860" s="29">
        <v>0.0</v>
      </c>
      <c r="E860" s="25">
        <f t="shared" si="138"/>
        <v>20</v>
      </c>
    </row>
    <row r="861" ht="15.75" customHeight="1">
      <c r="A861" s="122">
        <v>6071.0</v>
      </c>
      <c r="B861" s="104" t="s">
        <v>36</v>
      </c>
      <c r="C861" s="39"/>
      <c r="D861" s="22">
        <f>7*450+4*295+110*7</f>
        <v>5100</v>
      </c>
      <c r="E861" s="25">
        <f t="shared" si="138"/>
        <v>21</v>
      </c>
    </row>
    <row r="862" ht="15.75" customHeight="1">
      <c r="A862" s="99">
        <v>6211.0</v>
      </c>
      <c r="B862" s="100" t="s">
        <v>73</v>
      </c>
      <c r="C862" s="39"/>
      <c r="D862" s="22">
        <v>0.0</v>
      </c>
      <c r="E862" s="25">
        <f t="shared" si="138"/>
        <v>22</v>
      </c>
    </row>
    <row r="863" ht="15.75" customHeight="1">
      <c r="A863" s="99">
        <v>6991.0</v>
      </c>
      <c r="B863" s="104" t="s">
        <v>76</v>
      </c>
      <c r="C863" s="39"/>
      <c r="D863" s="22">
        <f>600</f>
        <v>600</v>
      </c>
      <c r="E863" s="25">
        <f t="shared" si="138"/>
        <v>23</v>
      </c>
    </row>
    <row r="864" ht="15.75" customHeight="1">
      <c r="A864" s="52">
        <v>6993.0</v>
      </c>
      <c r="B864" s="105" t="s">
        <v>115</v>
      </c>
      <c r="C864" s="39"/>
      <c r="D864" s="22">
        <v>0.0</v>
      </c>
      <c r="E864" s="25">
        <f t="shared" si="138"/>
        <v>24</v>
      </c>
    </row>
    <row r="865" ht="15.75" customHeight="1">
      <c r="A865" s="99"/>
      <c r="B865" s="106" t="s">
        <v>19</v>
      </c>
      <c r="C865" s="31">
        <f t="shared" ref="C865:D865" si="139">SUM(C841:C864)</f>
        <v>0</v>
      </c>
      <c r="D865" s="32">
        <f t="shared" si="139"/>
        <v>60435</v>
      </c>
      <c r="E865" s="25"/>
    </row>
    <row r="866" ht="15.75" customHeight="1">
      <c r="A866" s="101"/>
      <c r="B866" s="136" t="s">
        <v>20</v>
      </c>
      <c r="C866" s="53"/>
      <c r="D866" s="32">
        <f>C865-D865</f>
        <v>-60435</v>
      </c>
      <c r="E866" s="40"/>
    </row>
    <row r="867" ht="15.75" customHeight="1">
      <c r="A867" s="97">
        <v>152301.0</v>
      </c>
      <c r="B867" s="126" t="s">
        <v>227</v>
      </c>
      <c r="C867" s="41"/>
      <c r="D867" s="36"/>
      <c r="E867" s="37"/>
    </row>
    <row r="868" ht="15.75" customHeight="1">
      <c r="A868" s="62">
        <v>3063.0</v>
      </c>
      <c r="B868" s="100" t="s">
        <v>228</v>
      </c>
      <c r="C868" s="39">
        <v>0.0</v>
      </c>
      <c r="D868" s="22"/>
      <c r="E868" s="25">
        <f>E864+1</f>
        <v>25</v>
      </c>
    </row>
    <row r="869" ht="15.75" customHeight="1">
      <c r="A869" s="62">
        <v>3064.0</v>
      </c>
      <c r="B869" s="100" t="s">
        <v>229</v>
      </c>
      <c r="C869" s="39">
        <v>0.0</v>
      </c>
      <c r="D869" s="22"/>
      <c r="E869" s="25">
        <f t="shared" ref="E869:E870" si="140">E868+1</f>
        <v>26</v>
      </c>
    </row>
    <row r="870" ht="15.75" customHeight="1">
      <c r="A870" s="62">
        <v>3080.0</v>
      </c>
      <c r="B870" s="100" t="s">
        <v>230</v>
      </c>
      <c r="C870" s="39">
        <v>0.0</v>
      </c>
      <c r="D870" s="22"/>
      <c r="E870" s="25">
        <f t="shared" si="140"/>
        <v>27</v>
      </c>
    </row>
    <row r="871" ht="15.75" customHeight="1">
      <c r="A871" s="62">
        <v>4047.0</v>
      </c>
      <c r="B871" s="100" t="s">
        <v>14</v>
      </c>
      <c r="C871" s="39"/>
      <c r="D871" s="22">
        <f>250*4</f>
        <v>1000</v>
      </c>
      <c r="E871" s="25">
        <f>E869+1</f>
        <v>27</v>
      </c>
    </row>
    <row r="872" ht="15.75" customHeight="1">
      <c r="A872" s="62">
        <v>4060.0</v>
      </c>
      <c r="B872" s="100" t="s">
        <v>27</v>
      </c>
      <c r="C872" s="39"/>
      <c r="D872" s="22">
        <f>18*200+50*18</f>
        <v>4500</v>
      </c>
      <c r="E872" s="25">
        <f t="shared" ref="E872:E878" si="141">E871+1</f>
        <v>28</v>
      </c>
    </row>
    <row r="873" ht="15.75" customHeight="1">
      <c r="A873" s="62">
        <v>4063.0</v>
      </c>
      <c r="B873" s="100" t="s">
        <v>70</v>
      </c>
      <c r="C873" s="39"/>
      <c r="D873" s="22">
        <v>18000.0</v>
      </c>
      <c r="E873" s="25">
        <f t="shared" si="141"/>
        <v>29</v>
      </c>
    </row>
    <row r="874" ht="15.75" customHeight="1">
      <c r="A874" s="62">
        <v>4082.0</v>
      </c>
      <c r="B874" s="100" t="s">
        <v>45</v>
      </c>
      <c r="C874" s="39"/>
      <c r="D874" s="22">
        <f>200*2+16*100</f>
        <v>2000</v>
      </c>
      <c r="E874" s="25">
        <f t="shared" si="141"/>
        <v>30</v>
      </c>
    </row>
    <row r="875" ht="15.75" customHeight="1">
      <c r="A875" s="62">
        <v>4190.0</v>
      </c>
      <c r="B875" s="100" t="s">
        <v>32</v>
      </c>
      <c r="C875" s="39"/>
      <c r="D875" s="22">
        <f>500+400*1+300*16+4*100</f>
        <v>6100</v>
      </c>
      <c r="E875" s="25">
        <f t="shared" si="141"/>
        <v>31</v>
      </c>
    </row>
    <row r="876" ht="15.75" customHeight="1">
      <c r="A876" s="108">
        <v>5420.0</v>
      </c>
      <c r="B876" s="104" t="s">
        <v>231</v>
      </c>
      <c r="C876" s="39"/>
      <c r="D876" s="22">
        <f>300*12+1200</f>
        <v>4800</v>
      </c>
      <c r="E876" s="25">
        <f t="shared" si="141"/>
        <v>32</v>
      </c>
    </row>
    <row r="877" ht="15.75" customHeight="1">
      <c r="A877" s="62">
        <v>6070.0</v>
      </c>
      <c r="B877" s="100" t="s">
        <v>35</v>
      </c>
      <c r="C877" s="39"/>
      <c r="D877" s="22">
        <v>500.0</v>
      </c>
      <c r="E877" s="25">
        <f t="shared" si="141"/>
        <v>33</v>
      </c>
    </row>
    <row r="878" ht="15.75" customHeight="1">
      <c r="A878" s="62">
        <v>6250.0</v>
      </c>
      <c r="B878" s="100" t="s">
        <v>74</v>
      </c>
      <c r="C878" s="39"/>
      <c r="D878" s="22">
        <v>0.0</v>
      </c>
      <c r="E878" s="25">
        <f t="shared" si="141"/>
        <v>34</v>
      </c>
    </row>
    <row r="879" ht="15.75" customHeight="1">
      <c r="A879" s="62"/>
      <c r="B879" s="106" t="s">
        <v>19</v>
      </c>
      <c r="C879" s="31">
        <f t="shared" ref="C879:D879" si="142">SUM(C868:C878)</f>
        <v>0</v>
      </c>
      <c r="D879" s="32">
        <f t="shared" si="142"/>
        <v>36900</v>
      </c>
      <c r="E879" s="25"/>
    </row>
    <row r="880" ht="15.75" customHeight="1">
      <c r="A880" s="101"/>
      <c r="B880" s="136" t="s">
        <v>20</v>
      </c>
      <c r="C880" s="53"/>
      <c r="D880" s="32">
        <f>C879-D879</f>
        <v>-36900</v>
      </c>
      <c r="E880" s="40"/>
    </row>
    <row r="881" ht="15.75" customHeight="1">
      <c r="A881" s="97">
        <v>152302.0</v>
      </c>
      <c r="B881" s="126" t="s">
        <v>232</v>
      </c>
      <c r="C881" s="35"/>
      <c r="D881" s="36"/>
      <c r="E881" s="37"/>
    </row>
    <row r="882" ht="15.75" customHeight="1">
      <c r="A882" s="62">
        <v>3110.0</v>
      </c>
      <c r="B882" s="100" t="s">
        <v>111</v>
      </c>
      <c r="C882" s="168">
        <v>60000.0</v>
      </c>
      <c r="D882" s="22"/>
      <c r="E882" s="169">
        <f>E878+1</f>
        <v>35</v>
      </c>
    </row>
    <row r="883" ht="15.75" customHeight="1">
      <c r="A883" s="62">
        <v>3064.0</v>
      </c>
      <c r="B883" s="100" t="s">
        <v>229</v>
      </c>
      <c r="C883" s="170">
        <v>0.0</v>
      </c>
      <c r="D883" s="22"/>
      <c r="E883" s="169">
        <f t="shared" ref="E883:E891" si="143">E882+1</f>
        <v>36</v>
      </c>
    </row>
    <row r="884" ht="15.75" customHeight="1">
      <c r="A884" s="62">
        <v>4010.0</v>
      </c>
      <c r="B884" s="98" t="s">
        <v>48</v>
      </c>
      <c r="C884" s="170"/>
      <c r="D884" s="22">
        <v>0.0</v>
      </c>
      <c r="E884" s="169">
        <f t="shared" si="143"/>
        <v>37</v>
      </c>
    </row>
    <row r="885" ht="15.75" customHeight="1">
      <c r="A885" s="62">
        <v>4013.0</v>
      </c>
      <c r="B885" s="98" t="s">
        <v>98</v>
      </c>
      <c r="C885" s="170"/>
      <c r="D885" s="22">
        <v>0.0</v>
      </c>
      <c r="E885" s="169">
        <f t="shared" si="143"/>
        <v>38</v>
      </c>
    </row>
    <row r="886" ht="15.75" customHeight="1">
      <c r="A886" s="62">
        <v>4040.0</v>
      </c>
      <c r="B886" s="100" t="s">
        <v>24</v>
      </c>
      <c r="C886" s="170"/>
      <c r="D886" s="22">
        <f>100*4</f>
        <v>400</v>
      </c>
      <c r="E886" s="169">
        <f t="shared" si="143"/>
        <v>39</v>
      </c>
    </row>
    <row r="887" ht="15.75" customHeight="1">
      <c r="A887" s="62">
        <v>4047.0</v>
      </c>
      <c r="B887" s="100" t="s">
        <v>14</v>
      </c>
      <c r="C887" s="170"/>
      <c r="D887" s="22">
        <v>0.0</v>
      </c>
      <c r="E887" s="169">
        <f t="shared" si="143"/>
        <v>40</v>
      </c>
    </row>
    <row r="888" ht="15.75" customHeight="1">
      <c r="A888" s="62">
        <v>4060.0</v>
      </c>
      <c r="B888" s="98" t="s">
        <v>27</v>
      </c>
      <c r="C888" s="170"/>
      <c r="D888" s="22">
        <f>10*200+50*10</f>
        <v>2500</v>
      </c>
      <c r="E888" s="169">
        <f t="shared" si="143"/>
        <v>41</v>
      </c>
    </row>
    <row r="889" ht="15.75" customHeight="1">
      <c r="A889" s="62">
        <v>4063.0</v>
      </c>
      <c r="B889" s="98" t="s">
        <v>70</v>
      </c>
      <c r="C889" s="170"/>
      <c r="D889" s="22">
        <v>800.0</v>
      </c>
      <c r="E889" s="169">
        <f t="shared" si="143"/>
        <v>42</v>
      </c>
    </row>
    <row r="890" ht="15.75" customHeight="1">
      <c r="A890" s="62">
        <v>4069.0</v>
      </c>
      <c r="B890" s="98" t="s">
        <v>181</v>
      </c>
      <c r="C890" s="170"/>
      <c r="D890" s="22">
        <v>0.0</v>
      </c>
      <c r="E890" s="169">
        <f t="shared" si="143"/>
        <v>43</v>
      </c>
    </row>
    <row r="891" ht="15.75" customHeight="1">
      <c r="A891" s="108">
        <v>3076.0</v>
      </c>
      <c r="B891" s="104" t="s">
        <v>29</v>
      </c>
      <c r="C891" s="168">
        <f>75*40*4</f>
        <v>12000</v>
      </c>
      <c r="D891" s="22"/>
      <c r="E891" s="169">
        <f t="shared" si="143"/>
        <v>44</v>
      </c>
    </row>
    <row r="892" ht="15.75" customHeight="1">
      <c r="A892" s="62">
        <v>4076.0</v>
      </c>
      <c r="B892" s="100" t="s">
        <v>29</v>
      </c>
      <c r="C892" s="170"/>
      <c r="D892" s="29">
        <f>75*40*4</f>
        <v>12000</v>
      </c>
      <c r="E892" s="169">
        <f>E890+1</f>
        <v>44</v>
      </c>
    </row>
    <row r="893" ht="15.75" customHeight="1">
      <c r="A893" s="62">
        <v>4078.0</v>
      </c>
      <c r="B893" s="100" t="s">
        <v>30</v>
      </c>
      <c r="C893" s="170"/>
      <c r="D893" s="29">
        <v>1000.0</v>
      </c>
      <c r="E893" s="169">
        <f t="shared" ref="E893:E898" si="144">E892+1</f>
        <v>45</v>
      </c>
    </row>
    <row r="894" ht="15.75" customHeight="1">
      <c r="A894" s="62">
        <v>4082.0</v>
      </c>
      <c r="B894" s="100" t="s">
        <v>45</v>
      </c>
      <c r="C894" s="170"/>
      <c r="D894" s="22">
        <f>2*200+8*100</f>
        <v>1200</v>
      </c>
      <c r="E894" s="169">
        <f t="shared" si="144"/>
        <v>46</v>
      </c>
    </row>
    <row r="895" ht="15.75" customHeight="1">
      <c r="A895" s="62">
        <v>4190.0</v>
      </c>
      <c r="B895" s="98" t="s">
        <v>32</v>
      </c>
      <c r="C895" s="170"/>
      <c r="D895" s="22">
        <f>400*2+8*300</f>
        <v>3200</v>
      </c>
      <c r="E895" s="169">
        <f t="shared" si="144"/>
        <v>47</v>
      </c>
    </row>
    <row r="896" ht="15.75" customHeight="1">
      <c r="A896" s="62">
        <v>5061.0</v>
      </c>
      <c r="B896" s="98" t="s">
        <v>82</v>
      </c>
      <c r="C896" s="170"/>
      <c r="D896" s="22">
        <v>0.0</v>
      </c>
      <c r="E896" s="169">
        <f t="shared" si="144"/>
        <v>48</v>
      </c>
    </row>
    <row r="897" ht="15.75" customHeight="1">
      <c r="A897" s="62">
        <v>5460.0</v>
      </c>
      <c r="B897" s="100" t="s">
        <v>50</v>
      </c>
      <c r="C897" s="170"/>
      <c r="D897" s="22">
        <v>0.0</v>
      </c>
      <c r="E897" s="169">
        <f t="shared" si="144"/>
        <v>49</v>
      </c>
    </row>
    <row r="898" ht="15.75" customHeight="1">
      <c r="A898" s="62">
        <v>5710.0</v>
      </c>
      <c r="B898" s="100" t="s">
        <v>143</v>
      </c>
      <c r="C898" s="170"/>
      <c r="D898" s="22">
        <v>0.0</v>
      </c>
      <c r="E898" s="169">
        <f t="shared" si="144"/>
        <v>50</v>
      </c>
    </row>
    <row r="899" ht="15.75" customHeight="1">
      <c r="A899" s="62"/>
      <c r="B899" s="106" t="s">
        <v>19</v>
      </c>
      <c r="C899" s="31">
        <f t="shared" ref="C899:D899" si="145">SUM(C882:C898)</f>
        <v>72000</v>
      </c>
      <c r="D899" s="32">
        <f t="shared" si="145"/>
        <v>21100</v>
      </c>
      <c r="E899" s="169"/>
    </row>
    <row r="900" ht="15.75" customHeight="1">
      <c r="A900" s="62"/>
      <c r="B900" s="63"/>
      <c r="C900" s="39"/>
      <c r="D900" s="32">
        <f>C899-D899</f>
        <v>50900</v>
      </c>
      <c r="E900" s="169"/>
    </row>
    <row r="901" ht="15.75" customHeight="1">
      <c r="A901" s="140">
        <v>152312.0</v>
      </c>
      <c r="B901" s="171" t="s">
        <v>233</v>
      </c>
      <c r="C901" s="172"/>
      <c r="D901" s="143"/>
      <c r="E901" s="173"/>
    </row>
    <row r="902" ht="15.75" customHeight="1">
      <c r="A902" s="62">
        <v>3011.0</v>
      </c>
      <c r="B902" s="100" t="s">
        <v>22</v>
      </c>
      <c r="C902" s="170">
        <f>50*450</f>
        <v>22500</v>
      </c>
      <c r="D902" s="22"/>
      <c r="E902" s="169">
        <f>E898+1</f>
        <v>51</v>
      </c>
    </row>
    <row r="903" ht="15.75" customHeight="1">
      <c r="A903" s="122">
        <v>3014.0</v>
      </c>
      <c r="B903" s="104" t="s">
        <v>234</v>
      </c>
      <c r="C903" s="170">
        <f>7*450+10*450</f>
        <v>7650</v>
      </c>
      <c r="D903" s="22"/>
      <c r="E903" s="169">
        <v>51.0</v>
      </c>
    </row>
    <row r="904" ht="15.75" customHeight="1">
      <c r="A904" s="99">
        <v>4047.0</v>
      </c>
      <c r="B904" s="100" t="s">
        <v>14</v>
      </c>
      <c r="C904" s="170">
        <v>0.0</v>
      </c>
      <c r="D904" s="22"/>
      <c r="E904" s="169">
        <v>52.0</v>
      </c>
    </row>
    <row r="905" ht="15.75" customHeight="1">
      <c r="A905" s="62">
        <v>4076.0</v>
      </c>
      <c r="B905" s="100" t="s">
        <v>29</v>
      </c>
      <c r="C905" s="170"/>
      <c r="D905" s="22">
        <v>0.0</v>
      </c>
      <c r="E905" s="169">
        <v>53.0</v>
      </c>
    </row>
    <row r="906" ht="15.75" hidden="1" customHeight="1">
      <c r="A906" s="62">
        <v>3030.0</v>
      </c>
      <c r="B906" s="100" t="s">
        <v>117</v>
      </c>
      <c r="C906" s="156"/>
      <c r="D906" s="22">
        <v>0.0</v>
      </c>
      <c r="E906" s="169">
        <f>E905+1</f>
        <v>54</v>
      </c>
    </row>
    <row r="907" ht="15.75" hidden="1" customHeight="1">
      <c r="A907" s="62">
        <v>4012.0</v>
      </c>
      <c r="B907" s="100" t="s">
        <v>118</v>
      </c>
      <c r="C907" s="156"/>
      <c r="D907" s="22">
        <v>0.0</v>
      </c>
      <c r="E907" s="169">
        <v>55.0</v>
      </c>
    </row>
    <row r="908" ht="15.75" hidden="1" customHeight="1">
      <c r="A908" s="62">
        <v>4078.0</v>
      </c>
      <c r="B908" s="100" t="s">
        <v>30</v>
      </c>
      <c r="C908" s="156"/>
      <c r="D908" s="22">
        <v>0.0</v>
      </c>
      <c r="E908" s="169">
        <v>56.0</v>
      </c>
    </row>
    <row r="909" ht="15.75" customHeight="1">
      <c r="A909" s="62">
        <v>5010.0</v>
      </c>
      <c r="B909" s="100" t="s">
        <v>61</v>
      </c>
      <c r="C909" s="170"/>
      <c r="D909" s="22">
        <f>850*50</f>
        <v>42500</v>
      </c>
      <c r="E909" s="169">
        <f t="shared" ref="E909:E912" si="146">E908+1</f>
        <v>57</v>
      </c>
    </row>
    <row r="910" ht="15.75" customHeight="1">
      <c r="A910" s="62">
        <v>5461.0</v>
      </c>
      <c r="B910" s="100" t="s">
        <v>84</v>
      </c>
      <c r="C910" s="170"/>
      <c r="D910" s="22">
        <v>0.0</v>
      </c>
      <c r="E910" s="169">
        <f t="shared" si="146"/>
        <v>58</v>
      </c>
    </row>
    <row r="911" ht="15.75" customHeight="1">
      <c r="A911" s="62">
        <v>6071.0</v>
      </c>
      <c r="B911" s="100" t="s">
        <v>36</v>
      </c>
      <c r="C911" s="170"/>
      <c r="D911" s="22">
        <f>10*450</f>
        <v>4500</v>
      </c>
      <c r="E911" s="169">
        <f t="shared" si="146"/>
        <v>59</v>
      </c>
    </row>
    <row r="912" ht="15.75" customHeight="1">
      <c r="A912" s="62">
        <v>6800.0</v>
      </c>
      <c r="B912" s="100" t="s">
        <v>114</v>
      </c>
      <c r="C912" s="170"/>
      <c r="D912" s="22">
        <v>0.0</v>
      </c>
      <c r="E912" s="169">
        <f t="shared" si="146"/>
        <v>60</v>
      </c>
    </row>
    <row r="913" ht="15.75" customHeight="1">
      <c r="A913" s="52">
        <v>6993.0</v>
      </c>
      <c r="B913" s="174" t="s">
        <v>115</v>
      </c>
      <c r="C913" s="170"/>
      <c r="D913" s="22">
        <f>44*12.5</f>
        <v>550</v>
      </c>
      <c r="E913" s="169">
        <v>61.0</v>
      </c>
    </row>
    <row r="914" ht="15.75" customHeight="1">
      <c r="A914" s="99"/>
      <c r="B914" s="106" t="s">
        <v>19</v>
      </c>
      <c r="C914" s="175">
        <f t="shared" ref="C914:D914" si="147">SUM(C902:C913)</f>
        <v>30150</v>
      </c>
      <c r="D914" s="32">
        <f t="shared" si="147"/>
        <v>47550</v>
      </c>
      <c r="E914" s="169"/>
    </row>
    <row r="915" ht="15.75" customHeight="1">
      <c r="A915" s="62"/>
      <c r="B915" s="106"/>
      <c r="C915" s="175"/>
      <c r="D915" s="32">
        <f>C914-D914</f>
        <v>-17400</v>
      </c>
      <c r="E915" s="169"/>
    </row>
    <row r="916" ht="15.75" customHeight="1">
      <c r="A916" s="97">
        <v>152303.0</v>
      </c>
      <c r="B916" s="126" t="s">
        <v>235</v>
      </c>
      <c r="C916" s="35"/>
      <c r="D916" s="36"/>
      <c r="E916" s="37"/>
    </row>
    <row r="917" ht="15.75" customHeight="1">
      <c r="A917" s="101">
        <v>4010.0</v>
      </c>
      <c r="B917" s="102" t="s">
        <v>48</v>
      </c>
      <c r="C917" s="39"/>
      <c r="D917" s="22">
        <v>0.0</v>
      </c>
      <c r="E917" s="25">
        <v>62.0</v>
      </c>
    </row>
    <row r="918" ht="15.75" customHeight="1">
      <c r="A918" s="99">
        <v>4013.0</v>
      </c>
      <c r="B918" s="100" t="s">
        <v>98</v>
      </c>
      <c r="C918" s="39"/>
      <c r="D918" s="22">
        <f>2*(100*10+40*10)</f>
        <v>2800</v>
      </c>
      <c r="E918" s="25">
        <v>63.0</v>
      </c>
    </row>
    <row r="919" ht="15.75" customHeight="1">
      <c r="A919" s="99">
        <v>4063.0</v>
      </c>
      <c r="B919" s="100" t="s">
        <v>70</v>
      </c>
      <c r="C919" s="39"/>
      <c r="D919" s="22">
        <v>0.0</v>
      </c>
      <c r="E919" s="25">
        <f t="shared" ref="E919:E923" si="148">E918+1</f>
        <v>64</v>
      </c>
    </row>
    <row r="920" ht="15.75" customHeight="1">
      <c r="A920" s="99">
        <v>4060.0</v>
      </c>
      <c r="B920" s="100" t="s">
        <v>27</v>
      </c>
      <c r="C920" s="39"/>
      <c r="D920" s="22">
        <f>2*200+4*200</f>
        <v>1200</v>
      </c>
      <c r="E920" s="25">
        <f t="shared" si="148"/>
        <v>65</v>
      </c>
    </row>
    <row r="921" ht="15.75" customHeight="1">
      <c r="A921" s="99">
        <v>4066.0</v>
      </c>
      <c r="B921" s="100" t="s">
        <v>236</v>
      </c>
      <c r="C921" s="39"/>
      <c r="D921" s="22">
        <v>0.0</v>
      </c>
      <c r="E921" s="25">
        <f t="shared" si="148"/>
        <v>66</v>
      </c>
    </row>
    <row r="922" ht="15.75" customHeight="1">
      <c r="A922" s="99">
        <v>4082.0</v>
      </c>
      <c r="B922" s="100" t="s">
        <v>45</v>
      </c>
      <c r="C922" s="39"/>
      <c r="D922" s="22">
        <f>2*200+4*100</f>
        <v>800</v>
      </c>
      <c r="E922" s="25">
        <f t="shared" si="148"/>
        <v>67</v>
      </c>
    </row>
    <row r="923" ht="15.75" customHeight="1">
      <c r="A923" s="99">
        <v>4190.0</v>
      </c>
      <c r="B923" s="100" t="s">
        <v>32</v>
      </c>
      <c r="C923" s="39"/>
      <c r="D923" s="22">
        <f>2*400+4*300</f>
        <v>2000</v>
      </c>
      <c r="E923" s="25">
        <f t="shared" si="148"/>
        <v>68</v>
      </c>
    </row>
    <row r="924" ht="15.75" customHeight="1">
      <c r="A924" s="62"/>
      <c r="B924" s="106" t="s">
        <v>19</v>
      </c>
      <c r="C924" s="31">
        <f t="shared" ref="C924:D924" si="149">SUM(C917:C923)</f>
        <v>0</v>
      </c>
      <c r="D924" s="32">
        <f t="shared" si="149"/>
        <v>6800</v>
      </c>
      <c r="E924" s="25"/>
    </row>
    <row r="925" ht="15.75" customHeight="1">
      <c r="A925" s="101"/>
      <c r="B925" s="136" t="s">
        <v>20</v>
      </c>
      <c r="C925" s="31"/>
      <c r="D925" s="32">
        <f>C924-D924</f>
        <v>-6800</v>
      </c>
      <c r="E925" s="40"/>
    </row>
    <row r="926" ht="15.75" customHeight="1">
      <c r="A926" s="97">
        <v>152304.0</v>
      </c>
      <c r="B926" s="126" t="s">
        <v>237</v>
      </c>
      <c r="C926" s="35"/>
      <c r="D926" s="36"/>
      <c r="E926" s="37"/>
    </row>
    <row r="927" ht="15.75" hidden="1" customHeight="1">
      <c r="A927" s="62">
        <v>4060.0</v>
      </c>
      <c r="B927" s="100" t="s">
        <v>27</v>
      </c>
      <c r="C927" s="39"/>
      <c r="D927" s="29">
        <v>0.0</v>
      </c>
      <c r="E927" s="25">
        <f>E923+1</f>
        <v>69</v>
      </c>
    </row>
    <row r="928" ht="15.75" hidden="1" customHeight="1">
      <c r="A928" s="62">
        <v>4010.0</v>
      </c>
      <c r="B928" s="100" t="s">
        <v>48</v>
      </c>
      <c r="C928" s="39"/>
      <c r="D928" s="29">
        <v>0.0</v>
      </c>
      <c r="E928" s="25">
        <f t="shared" ref="E928:E932" si="150">E927+1</f>
        <v>70</v>
      </c>
    </row>
    <row r="929" ht="15.75" hidden="1" customHeight="1">
      <c r="A929" s="108">
        <v>4013.0</v>
      </c>
      <c r="B929" s="104" t="s">
        <v>98</v>
      </c>
      <c r="C929" s="39"/>
      <c r="D929" s="29">
        <v>0.0</v>
      </c>
      <c r="E929" s="25">
        <f t="shared" si="150"/>
        <v>71</v>
      </c>
    </row>
    <row r="930" ht="15.75" hidden="1" customHeight="1">
      <c r="A930" s="62">
        <v>4082.0</v>
      </c>
      <c r="B930" s="100" t="s">
        <v>45</v>
      </c>
      <c r="C930" s="39"/>
      <c r="D930" s="29">
        <v>0.0</v>
      </c>
      <c r="E930" s="25">
        <f t="shared" si="150"/>
        <v>72</v>
      </c>
    </row>
    <row r="931" ht="15.75" hidden="1" customHeight="1">
      <c r="A931" s="62">
        <v>4190.0</v>
      </c>
      <c r="B931" s="100" t="s">
        <v>32</v>
      </c>
      <c r="C931" s="39"/>
      <c r="D931" s="29">
        <v>0.0</v>
      </c>
      <c r="E931" s="25">
        <f t="shared" si="150"/>
        <v>73</v>
      </c>
    </row>
    <row r="932" ht="15.75" hidden="1" customHeight="1">
      <c r="A932" s="62">
        <v>6991.0</v>
      </c>
      <c r="B932" s="104" t="s">
        <v>76</v>
      </c>
      <c r="C932" s="39"/>
      <c r="D932" s="29">
        <v>0.0</v>
      </c>
      <c r="E932" s="25">
        <f t="shared" si="150"/>
        <v>74</v>
      </c>
    </row>
    <row r="933" ht="15.75" hidden="1" customHeight="1">
      <c r="A933" s="62"/>
      <c r="B933" s="106" t="s">
        <v>19</v>
      </c>
      <c r="C933" s="31">
        <f t="shared" ref="C933:D933" si="151">SUM(C927:C932)</f>
        <v>0</v>
      </c>
      <c r="D933" s="32">
        <f t="shared" si="151"/>
        <v>0</v>
      </c>
      <c r="E933" s="25"/>
    </row>
    <row r="934" ht="15.75" hidden="1" customHeight="1">
      <c r="A934" s="101"/>
      <c r="B934" s="136" t="s">
        <v>20</v>
      </c>
      <c r="C934" s="31"/>
      <c r="D934" s="32">
        <f>C933-D933</f>
        <v>0</v>
      </c>
      <c r="E934" s="40"/>
    </row>
    <row r="935" ht="15.75" customHeight="1">
      <c r="A935" s="97">
        <v>152305.0</v>
      </c>
      <c r="B935" s="126" t="s">
        <v>238</v>
      </c>
      <c r="C935" s="35"/>
      <c r="D935" s="36"/>
      <c r="E935" s="37"/>
    </row>
    <row r="936" ht="15.75" customHeight="1">
      <c r="A936" s="122">
        <v>3010.0</v>
      </c>
      <c r="B936" s="104" t="s">
        <v>2</v>
      </c>
      <c r="C936" s="68">
        <v>7000.0</v>
      </c>
      <c r="D936" s="29"/>
      <c r="E936" s="25">
        <f>E923+1</f>
        <v>69</v>
      </c>
    </row>
    <row r="937" ht="15.75" customHeight="1">
      <c r="A937" s="99">
        <v>4063.0</v>
      </c>
      <c r="B937" s="100" t="s">
        <v>70</v>
      </c>
      <c r="C937" s="39"/>
      <c r="D937" s="29">
        <v>1000.0</v>
      </c>
      <c r="E937" s="25">
        <f t="shared" ref="E937:E938" si="152">E936+1</f>
        <v>70</v>
      </c>
    </row>
    <row r="938" ht="15.75" customHeight="1">
      <c r="A938" s="99">
        <v>5460.0</v>
      </c>
      <c r="B938" s="100" t="s">
        <v>50</v>
      </c>
      <c r="C938" s="39"/>
      <c r="D938" s="22">
        <v>0.0</v>
      </c>
      <c r="E938" s="25">
        <f t="shared" si="152"/>
        <v>71</v>
      </c>
    </row>
    <row r="939" ht="15.75" customHeight="1">
      <c r="A939" s="99"/>
      <c r="B939" s="106" t="s">
        <v>19</v>
      </c>
      <c r="C939" s="31">
        <f t="shared" ref="C939:D939" si="153">SUM(C936:C937)</f>
        <v>7000</v>
      </c>
      <c r="D939" s="32">
        <f t="shared" si="153"/>
        <v>1000</v>
      </c>
      <c r="E939" s="25"/>
    </row>
    <row r="940" ht="15.75" customHeight="1">
      <c r="A940" s="101"/>
      <c r="B940" s="136" t="s">
        <v>20</v>
      </c>
      <c r="C940" s="53"/>
      <c r="D940" s="32">
        <f>C939-D939</f>
        <v>6000</v>
      </c>
      <c r="E940" s="40"/>
    </row>
    <row r="941" ht="15.75" customHeight="1">
      <c r="A941" s="97">
        <v>152306.0</v>
      </c>
      <c r="B941" s="176" t="s">
        <v>239</v>
      </c>
      <c r="C941" s="84"/>
      <c r="D941" s="85"/>
      <c r="E941" s="177"/>
    </row>
    <row r="942" ht="15.75" hidden="1" customHeight="1">
      <c r="A942" s="99">
        <v>4065.0</v>
      </c>
      <c r="B942" s="100" t="s">
        <v>16</v>
      </c>
      <c r="C942" s="39"/>
      <c r="D942" s="22">
        <v>0.0</v>
      </c>
      <c r="E942" s="25">
        <f>E932+1</f>
        <v>75</v>
      </c>
    </row>
    <row r="943" ht="15.75" hidden="1" customHeight="1">
      <c r="A943" s="99">
        <v>4076.0</v>
      </c>
      <c r="B943" s="100" t="s">
        <v>29</v>
      </c>
      <c r="C943" s="39"/>
      <c r="D943" s="22">
        <v>0.0</v>
      </c>
      <c r="E943" s="25">
        <f>E942+1</f>
        <v>76</v>
      </c>
    </row>
    <row r="944" ht="15.75" hidden="1" customHeight="1">
      <c r="A944" s="99"/>
      <c r="B944" s="106" t="s">
        <v>19</v>
      </c>
      <c r="C944" s="31">
        <f t="shared" ref="C944:D944" si="154">SUM(C942:C943)</f>
        <v>0</v>
      </c>
      <c r="D944" s="32">
        <f t="shared" si="154"/>
        <v>0</v>
      </c>
      <c r="E944" s="25"/>
    </row>
    <row r="945" ht="15.75" hidden="1" customHeight="1">
      <c r="A945" s="101"/>
      <c r="B945" s="136" t="s">
        <v>20</v>
      </c>
      <c r="C945" s="53"/>
      <c r="D945" s="32">
        <f>C944-D944</f>
        <v>0</v>
      </c>
      <c r="E945" s="40"/>
    </row>
    <row r="946" ht="15.75" customHeight="1">
      <c r="A946" s="97">
        <v>152307.0</v>
      </c>
      <c r="B946" s="178" t="s">
        <v>240</v>
      </c>
      <c r="C946" s="35"/>
      <c r="D946" s="36"/>
      <c r="E946" s="37"/>
    </row>
    <row r="947" ht="15.75" customHeight="1">
      <c r="A947" s="99">
        <v>3110.0</v>
      </c>
      <c r="B947" s="137" t="s">
        <v>111</v>
      </c>
      <c r="C947" s="39">
        <f>15000*2</f>
        <v>30000</v>
      </c>
      <c r="D947" s="22"/>
      <c r="E947" s="25">
        <f>E943+1</f>
        <v>77</v>
      </c>
    </row>
    <row r="948" ht="15.75" customHeight="1">
      <c r="A948" s="99">
        <v>3011.0</v>
      </c>
      <c r="B948" s="137" t="s">
        <v>22</v>
      </c>
      <c r="C948" s="39">
        <f>100*110</f>
        <v>11000</v>
      </c>
      <c r="D948" s="22"/>
      <c r="E948" s="25">
        <f>E947+1</f>
        <v>78</v>
      </c>
    </row>
    <row r="949" ht="15.75" customHeight="1">
      <c r="A949" s="122">
        <v>3030.0</v>
      </c>
      <c r="B949" s="179" t="s">
        <v>241</v>
      </c>
      <c r="C949" s="26">
        <f>2000*1.13</f>
        <v>2260</v>
      </c>
      <c r="D949" s="22"/>
      <c r="E949" s="25">
        <v>79.0</v>
      </c>
    </row>
    <row r="950" ht="15.75" customHeight="1">
      <c r="A950" s="99">
        <v>4012.0</v>
      </c>
      <c r="B950" s="137" t="s">
        <v>118</v>
      </c>
      <c r="C950" s="39"/>
      <c r="D950" s="22">
        <f>C949/1.9</f>
        <v>1189.473684</v>
      </c>
      <c r="E950" s="25">
        <f t="shared" ref="E950:E962" si="155">E949+1</f>
        <v>80</v>
      </c>
    </row>
    <row r="951" ht="15.75" customHeight="1">
      <c r="A951" s="99">
        <v>4040.0</v>
      </c>
      <c r="B951" s="137" t="s">
        <v>24</v>
      </c>
      <c r="C951" s="39"/>
      <c r="D951" s="22">
        <v>600.0</v>
      </c>
      <c r="E951" s="25">
        <f t="shared" si="155"/>
        <v>81</v>
      </c>
    </row>
    <row r="952" ht="15.75" customHeight="1">
      <c r="A952" s="99">
        <v>4060.0</v>
      </c>
      <c r="B952" s="137" t="s">
        <v>27</v>
      </c>
      <c r="C952" s="39"/>
      <c r="D952" s="22">
        <f>2*200+8*200+50*10</f>
        <v>2500</v>
      </c>
      <c r="E952" s="25">
        <f t="shared" si="155"/>
        <v>82</v>
      </c>
    </row>
    <row r="953" ht="15.75" customHeight="1">
      <c r="A953" s="99">
        <v>4063.0</v>
      </c>
      <c r="B953" s="137" t="s">
        <v>70</v>
      </c>
      <c r="C953" s="39"/>
      <c r="D953" s="22">
        <v>500.0</v>
      </c>
      <c r="E953" s="25">
        <f t="shared" si="155"/>
        <v>83</v>
      </c>
    </row>
    <row r="954" ht="15.75" customHeight="1">
      <c r="A954" s="99">
        <v>4069.0</v>
      </c>
      <c r="B954" s="137" t="s">
        <v>181</v>
      </c>
      <c r="C954" s="39"/>
      <c r="D954" s="22">
        <v>0.0</v>
      </c>
      <c r="E954" s="25">
        <f t="shared" si="155"/>
        <v>84</v>
      </c>
    </row>
    <row r="955" ht="15.75" customHeight="1">
      <c r="A955" s="99">
        <v>4076.0</v>
      </c>
      <c r="B955" s="137" t="s">
        <v>29</v>
      </c>
      <c r="C955" s="39"/>
      <c r="D955" s="22">
        <v>5000.0</v>
      </c>
      <c r="E955" s="25">
        <f t="shared" si="155"/>
        <v>85</v>
      </c>
    </row>
    <row r="956" ht="15.75" customHeight="1">
      <c r="A956" s="99">
        <v>4078.0</v>
      </c>
      <c r="B956" s="137" t="s">
        <v>30</v>
      </c>
      <c r="C956" s="39"/>
      <c r="D956" s="22">
        <f>1000</f>
        <v>1000</v>
      </c>
      <c r="E956" s="25">
        <f t="shared" si="155"/>
        <v>86</v>
      </c>
    </row>
    <row r="957" ht="15.75" customHeight="1">
      <c r="A957" s="122">
        <v>4082.0</v>
      </c>
      <c r="B957" s="179" t="s">
        <v>45</v>
      </c>
      <c r="C957" s="39"/>
      <c r="D957" s="22">
        <f>2*200+8*100</f>
        <v>1200</v>
      </c>
      <c r="E957" s="25">
        <f t="shared" si="155"/>
        <v>87</v>
      </c>
    </row>
    <row r="958" ht="15.75" customHeight="1">
      <c r="A958" s="99">
        <v>4190.0</v>
      </c>
      <c r="B958" s="137" t="s">
        <v>32</v>
      </c>
      <c r="C958" s="39"/>
      <c r="D958" s="22">
        <f>2*400+8*300</f>
        <v>3200</v>
      </c>
      <c r="E958" s="25">
        <f t="shared" si="155"/>
        <v>88</v>
      </c>
    </row>
    <row r="959" ht="15.75" customHeight="1">
      <c r="A959" s="99">
        <v>5061.0</v>
      </c>
      <c r="B959" s="137" t="s">
        <v>82</v>
      </c>
      <c r="C959" s="39"/>
      <c r="D959" s="29">
        <v>2000.0</v>
      </c>
      <c r="E959" s="25">
        <f t="shared" si="155"/>
        <v>89</v>
      </c>
    </row>
    <row r="960" ht="15.75" customHeight="1">
      <c r="A960" s="99">
        <v>5461.0</v>
      </c>
      <c r="B960" s="137" t="s">
        <v>84</v>
      </c>
      <c r="C960" s="39"/>
      <c r="D960" s="29">
        <v>18000.0</v>
      </c>
      <c r="E960" s="25">
        <f t="shared" si="155"/>
        <v>90</v>
      </c>
    </row>
    <row r="961" ht="15.75" customHeight="1">
      <c r="A961" s="99">
        <v>6070.0</v>
      </c>
      <c r="B961" s="137" t="s">
        <v>35</v>
      </c>
      <c r="C961" s="39"/>
      <c r="D961" s="22">
        <v>0.0</v>
      </c>
      <c r="E961" s="25">
        <f t="shared" si="155"/>
        <v>91</v>
      </c>
    </row>
    <row r="962" ht="15.75" customHeight="1">
      <c r="A962" s="52">
        <v>6993.0</v>
      </c>
      <c r="B962" s="174" t="s">
        <v>115</v>
      </c>
      <c r="C962" s="39"/>
      <c r="D962" s="22">
        <f>6.25*100</f>
        <v>625</v>
      </c>
      <c r="E962" s="25">
        <f t="shared" si="155"/>
        <v>92</v>
      </c>
    </row>
    <row r="963" ht="15.75" customHeight="1">
      <c r="A963" s="62"/>
      <c r="B963" s="180" t="s">
        <v>19</v>
      </c>
      <c r="C963" s="31">
        <f t="shared" ref="C963:D963" si="156">SUM(C947:C962)</f>
        <v>43260</v>
      </c>
      <c r="D963" s="32">
        <f t="shared" si="156"/>
        <v>35814.47368</v>
      </c>
      <c r="E963" s="25"/>
    </row>
    <row r="964" ht="15.75" customHeight="1">
      <c r="A964" s="101"/>
      <c r="B964" s="136" t="s">
        <v>20</v>
      </c>
      <c r="C964" s="53"/>
      <c r="D964" s="32">
        <f>C963-D963</f>
        <v>7445.526316</v>
      </c>
      <c r="E964" s="40"/>
    </row>
    <row r="965" ht="15.75" customHeight="1">
      <c r="A965" s="97">
        <v>152308.0</v>
      </c>
      <c r="B965" s="176" t="s">
        <v>242</v>
      </c>
      <c r="C965" s="84"/>
      <c r="D965" s="85"/>
      <c r="E965" s="177"/>
    </row>
    <row r="966" ht="15.75" hidden="1" customHeight="1">
      <c r="A966" s="62">
        <v>4047.0</v>
      </c>
      <c r="B966" s="100" t="s">
        <v>14</v>
      </c>
      <c r="C966" s="39"/>
      <c r="D966" s="22">
        <v>0.0</v>
      </c>
      <c r="E966" s="25"/>
    </row>
    <row r="967" ht="15.75" hidden="1" customHeight="1">
      <c r="A967" s="62">
        <v>4076.0</v>
      </c>
      <c r="B967" s="100" t="s">
        <v>29</v>
      </c>
      <c r="C967" s="39"/>
      <c r="D967" s="22">
        <v>0.0</v>
      </c>
      <c r="E967" s="25"/>
    </row>
    <row r="968" ht="15.75" hidden="1" customHeight="1">
      <c r="A968" s="62">
        <v>4078.0</v>
      </c>
      <c r="B968" s="100" t="s">
        <v>30</v>
      </c>
      <c r="C968" s="39"/>
      <c r="D968" s="22">
        <v>0.0</v>
      </c>
      <c r="E968" s="25"/>
    </row>
    <row r="969" ht="15.75" hidden="1" customHeight="1">
      <c r="A969" s="99"/>
      <c r="B969" s="106" t="s">
        <v>19</v>
      </c>
      <c r="C969" s="31">
        <f t="shared" ref="C969:D969" si="157">SUM(C966:C968)</f>
        <v>0</v>
      </c>
      <c r="D969" s="32">
        <f t="shared" si="157"/>
        <v>0</v>
      </c>
      <c r="E969" s="25"/>
    </row>
    <row r="970" ht="15.75" hidden="1" customHeight="1">
      <c r="A970" s="101"/>
      <c r="B970" s="136" t="s">
        <v>20</v>
      </c>
      <c r="C970" s="53"/>
      <c r="D970" s="32">
        <f>C969-D969</f>
        <v>0</v>
      </c>
      <c r="E970" s="40"/>
    </row>
    <row r="971" ht="15.75" customHeight="1">
      <c r="A971" s="97">
        <v>152309.0</v>
      </c>
      <c r="B971" s="176" t="s">
        <v>243</v>
      </c>
      <c r="C971" s="84"/>
      <c r="D971" s="85"/>
      <c r="E971" s="177"/>
    </row>
    <row r="972" ht="15.75" customHeight="1">
      <c r="A972" s="62">
        <v>4190.0</v>
      </c>
      <c r="B972" s="100" t="s">
        <v>32</v>
      </c>
      <c r="C972" s="39"/>
      <c r="D972" s="22">
        <f>2*100</f>
        <v>200</v>
      </c>
      <c r="E972" s="181">
        <f>E962+1</f>
        <v>93</v>
      </c>
    </row>
    <row r="973" ht="15.75" customHeight="1">
      <c r="A973" s="108">
        <v>4076.0</v>
      </c>
      <c r="B973" s="100" t="s">
        <v>29</v>
      </c>
      <c r="C973" s="39"/>
      <c r="D973" s="22">
        <v>500.0</v>
      </c>
      <c r="E973" s="25">
        <f t="shared" ref="E973:E974" si="158">E972+1</f>
        <v>94</v>
      </c>
    </row>
    <row r="974" ht="15.75" customHeight="1">
      <c r="A974" s="62">
        <v>6991.0</v>
      </c>
      <c r="B974" s="104" t="s">
        <v>76</v>
      </c>
      <c r="C974" s="39"/>
      <c r="D974" s="22">
        <v>750.0</v>
      </c>
      <c r="E974" s="25">
        <f t="shared" si="158"/>
        <v>95</v>
      </c>
    </row>
    <row r="975" ht="15.75" customHeight="1">
      <c r="A975" s="99"/>
      <c r="B975" s="106" t="s">
        <v>19</v>
      </c>
      <c r="C975" s="31">
        <f t="shared" ref="C975:D975" si="159">SUM(C972:C974)</f>
        <v>0</v>
      </c>
      <c r="D975" s="32">
        <f t="shared" si="159"/>
        <v>1450</v>
      </c>
      <c r="E975" s="25"/>
    </row>
    <row r="976" ht="15.75" customHeight="1">
      <c r="A976" s="101"/>
      <c r="B976" s="136" t="s">
        <v>20</v>
      </c>
      <c r="C976" s="53"/>
      <c r="D976" s="32">
        <f>C975-D975</f>
        <v>-1450</v>
      </c>
      <c r="E976" s="40"/>
    </row>
    <row r="977" ht="15.75" customHeight="1">
      <c r="A977" s="182">
        <v>152310.0</v>
      </c>
      <c r="B977" s="161" t="s">
        <v>244</v>
      </c>
      <c r="C977" s="35"/>
      <c r="D977" s="36"/>
      <c r="E977" s="37"/>
    </row>
    <row r="978" ht="15.75" hidden="1" customHeight="1">
      <c r="A978" s="183">
        <v>4063.0</v>
      </c>
      <c r="B978" s="184" t="s">
        <v>70</v>
      </c>
      <c r="C978" s="39"/>
      <c r="D978" s="22">
        <v>0.0</v>
      </c>
      <c r="E978" s="25">
        <f>E974+1</f>
        <v>96</v>
      </c>
    </row>
    <row r="979" ht="15.75" hidden="1" customHeight="1">
      <c r="A979" s="183">
        <v>4060.0</v>
      </c>
      <c r="B979" s="184" t="s">
        <v>27</v>
      </c>
      <c r="C979" s="39"/>
      <c r="D979" s="22">
        <v>0.0</v>
      </c>
      <c r="E979" s="25">
        <f t="shared" ref="E979:E982" si="160">E978+1</f>
        <v>97</v>
      </c>
    </row>
    <row r="980" ht="15.75" hidden="1" customHeight="1">
      <c r="A980" s="183">
        <v>3011.0</v>
      </c>
      <c r="B980" s="184" t="s">
        <v>22</v>
      </c>
      <c r="C980" s="39"/>
      <c r="D980" s="22">
        <v>0.0</v>
      </c>
      <c r="E980" s="25">
        <f t="shared" si="160"/>
        <v>98</v>
      </c>
    </row>
    <row r="981" ht="15.75" hidden="1" customHeight="1">
      <c r="A981" s="183">
        <v>4190.0</v>
      </c>
      <c r="B981" s="184" t="s">
        <v>32</v>
      </c>
      <c r="C981" s="39"/>
      <c r="D981" s="22">
        <v>0.0</v>
      </c>
      <c r="E981" s="25">
        <f t="shared" si="160"/>
        <v>99</v>
      </c>
    </row>
    <row r="982" ht="15.75" hidden="1" customHeight="1">
      <c r="A982" s="52">
        <v>6993.0</v>
      </c>
      <c r="B982" s="174" t="s">
        <v>115</v>
      </c>
      <c r="C982" s="39"/>
      <c r="D982" s="22">
        <v>0.0</v>
      </c>
      <c r="E982" s="25">
        <f t="shared" si="160"/>
        <v>100</v>
      </c>
    </row>
    <row r="983" ht="15.75" hidden="1" customHeight="1">
      <c r="A983" s="19"/>
      <c r="B983" s="185" t="s">
        <v>19</v>
      </c>
      <c r="C983" s="39">
        <f>sum(C978:C982)</f>
        <v>0</v>
      </c>
      <c r="D983" s="22">
        <f>SUM(D978:D982)</f>
        <v>0</v>
      </c>
      <c r="E983" s="25"/>
    </row>
    <row r="984" ht="15.75" hidden="1" customHeight="1">
      <c r="A984" s="52"/>
      <c r="B984" s="186" t="s">
        <v>20</v>
      </c>
      <c r="C984" s="53"/>
      <c r="D984" s="22">
        <f>C983-D983</f>
        <v>0</v>
      </c>
      <c r="E984" s="40"/>
    </row>
    <row r="985" ht="15.75" customHeight="1">
      <c r="A985" s="97">
        <v>152311.0</v>
      </c>
      <c r="B985" s="176" t="s">
        <v>245</v>
      </c>
      <c r="C985" s="84"/>
      <c r="D985" s="85"/>
      <c r="E985" s="177"/>
    </row>
    <row r="986" ht="15.75" hidden="1" customHeight="1">
      <c r="A986" s="62">
        <v>4076.0</v>
      </c>
      <c r="B986" s="100" t="s">
        <v>29</v>
      </c>
      <c r="C986" s="39"/>
      <c r="D986" s="22">
        <v>0.0</v>
      </c>
      <c r="E986" s="181">
        <f>E974+1</f>
        <v>96</v>
      </c>
    </row>
    <row r="987" ht="15.75" hidden="1" customHeight="1">
      <c r="A987" s="62">
        <v>4190.0</v>
      </c>
      <c r="B987" s="100" t="s">
        <v>32</v>
      </c>
      <c r="C987" s="39"/>
      <c r="D987" s="22">
        <v>0.0</v>
      </c>
      <c r="E987" s="181">
        <f>E986+1</f>
        <v>97</v>
      </c>
    </row>
    <row r="988" ht="15.75" hidden="1" customHeight="1">
      <c r="A988" s="99"/>
      <c r="B988" s="106" t="s">
        <v>19</v>
      </c>
      <c r="C988" s="31">
        <f t="shared" ref="C988:D988" si="161">SUM(C986:C987)</f>
        <v>0</v>
      </c>
      <c r="D988" s="32">
        <f t="shared" si="161"/>
        <v>0</v>
      </c>
      <c r="E988" s="25"/>
    </row>
    <row r="989" ht="15.75" hidden="1" customHeight="1">
      <c r="A989" s="101"/>
      <c r="B989" s="136" t="s">
        <v>20</v>
      </c>
      <c r="C989" s="53"/>
      <c r="D989" s="32">
        <f>C988-D988</f>
        <v>0</v>
      </c>
      <c r="E989" s="40"/>
    </row>
    <row r="990" ht="15.75" customHeight="1">
      <c r="A990" s="187">
        <v>152313.0</v>
      </c>
      <c r="B990" s="188" t="s">
        <v>246</v>
      </c>
      <c r="C990" s="84"/>
      <c r="D990" s="85"/>
      <c r="E990" s="86"/>
    </row>
    <row r="991" ht="15.75" customHeight="1">
      <c r="A991" s="62">
        <v>4060.0</v>
      </c>
      <c r="B991" s="100" t="s">
        <v>27</v>
      </c>
      <c r="C991" s="39"/>
      <c r="D991" s="22">
        <f>2*200+50*2</f>
        <v>500</v>
      </c>
      <c r="E991" s="25">
        <f>E974+1</f>
        <v>96</v>
      </c>
    </row>
    <row r="992" ht="15.75" customHeight="1">
      <c r="A992" s="108">
        <v>4063.0</v>
      </c>
      <c r="B992" s="104" t="s">
        <v>70</v>
      </c>
      <c r="C992" s="39"/>
      <c r="D992" s="22">
        <v>0.0</v>
      </c>
      <c r="E992" s="25">
        <f t="shared" ref="E992:E997" si="162">E991+1</f>
        <v>97</v>
      </c>
    </row>
    <row r="993" ht="15.75" customHeight="1">
      <c r="A993" s="62">
        <v>4076.0</v>
      </c>
      <c r="B993" s="100" t="s">
        <v>29</v>
      </c>
      <c r="C993" s="39"/>
      <c r="D993" s="22">
        <f>2500</f>
        <v>2500</v>
      </c>
      <c r="E993" s="25">
        <f t="shared" si="162"/>
        <v>98</v>
      </c>
    </row>
    <row r="994" ht="15.75" customHeight="1">
      <c r="A994" s="62">
        <v>4082.0</v>
      </c>
      <c r="B994" s="100" t="s">
        <v>45</v>
      </c>
      <c r="C994" s="39"/>
      <c r="D994" s="22">
        <f>2*100</f>
        <v>200</v>
      </c>
      <c r="E994" s="25">
        <f t="shared" si="162"/>
        <v>99</v>
      </c>
    </row>
    <row r="995" ht="15.75" customHeight="1">
      <c r="A995" s="62">
        <v>4190.0</v>
      </c>
      <c r="B995" s="100" t="s">
        <v>32</v>
      </c>
      <c r="C995" s="39"/>
      <c r="D995" s="22">
        <f>2*200</f>
        <v>400</v>
      </c>
      <c r="E995" s="25">
        <f t="shared" si="162"/>
        <v>100</v>
      </c>
    </row>
    <row r="996" ht="15.75" customHeight="1">
      <c r="A996" s="62">
        <v>5810.0</v>
      </c>
      <c r="B996" s="100" t="s">
        <v>34</v>
      </c>
      <c r="C996" s="39"/>
      <c r="D996" s="22">
        <v>0.0</v>
      </c>
      <c r="E996" s="25">
        <f t="shared" si="162"/>
        <v>101</v>
      </c>
    </row>
    <row r="997" ht="15.75" customHeight="1">
      <c r="A997" s="62">
        <v>6991.0</v>
      </c>
      <c r="B997" s="104" t="s">
        <v>76</v>
      </c>
      <c r="C997" s="53"/>
      <c r="D997" s="22">
        <v>0.0</v>
      </c>
      <c r="E997" s="25">
        <f t="shared" si="162"/>
        <v>102</v>
      </c>
    </row>
    <row r="998" ht="15.75" customHeight="1">
      <c r="A998" s="99"/>
      <c r="B998" s="106" t="s">
        <v>19</v>
      </c>
      <c r="C998" s="31">
        <f t="shared" ref="C998:D998" si="163">sum(C991:C997)</f>
        <v>0</v>
      </c>
      <c r="D998" s="32">
        <f t="shared" si="163"/>
        <v>3600</v>
      </c>
      <c r="E998" s="25"/>
    </row>
    <row r="999" ht="15.75" customHeight="1">
      <c r="A999" s="101"/>
      <c r="B999" s="136" t="s">
        <v>247</v>
      </c>
      <c r="C999" s="53"/>
      <c r="D999" s="32">
        <f>C998-D998</f>
        <v>-3600</v>
      </c>
      <c r="E999" s="25"/>
    </row>
    <row r="1000" ht="15.75" customHeight="1">
      <c r="A1000" s="187">
        <v>152314.0</v>
      </c>
      <c r="B1000" s="189" t="s">
        <v>248</v>
      </c>
      <c r="C1000" s="84"/>
      <c r="D1000" s="85"/>
      <c r="E1000" s="86"/>
    </row>
    <row r="1001" ht="15.75" customHeight="1">
      <c r="A1001" s="163">
        <v>3110.0</v>
      </c>
      <c r="B1001" s="137" t="s">
        <v>111</v>
      </c>
      <c r="C1001" s="53">
        <v>0.0</v>
      </c>
      <c r="D1001" s="32"/>
      <c r="E1001" s="25">
        <f>E997+1</f>
        <v>103</v>
      </c>
    </row>
    <row r="1002" ht="15.75" customHeight="1">
      <c r="A1002" s="163">
        <v>4040.0</v>
      </c>
      <c r="B1002" s="137" t="s">
        <v>24</v>
      </c>
      <c r="C1002" s="53"/>
      <c r="D1002" s="22">
        <f>2*100</f>
        <v>200</v>
      </c>
      <c r="E1002" s="25">
        <f t="shared" ref="E1002:E1004" si="164">E1001+1</f>
        <v>104</v>
      </c>
    </row>
    <row r="1003" ht="15.75" customHeight="1">
      <c r="A1003" s="163">
        <v>4076.0</v>
      </c>
      <c r="B1003" s="137" t="s">
        <v>29</v>
      </c>
      <c r="C1003" s="53"/>
      <c r="D1003" s="22">
        <f>2*(25*75)</f>
        <v>3750</v>
      </c>
      <c r="E1003" s="25">
        <f t="shared" si="164"/>
        <v>105</v>
      </c>
    </row>
    <row r="1004" ht="15.75" customHeight="1">
      <c r="A1004" s="62">
        <v>4190.0</v>
      </c>
      <c r="B1004" s="100" t="s">
        <v>32</v>
      </c>
      <c r="C1004" s="31"/>
      <c r="D1004" s="22">
        <f>2*100</f>
        <v>200</v>
      </c>
      <c r="E1004" s="25">
        <f t="shared" si="164"/>
        <v>106</v>
      </c>
    </row>
    <row r="1005" ht="15.75" customHeight="1">
      <c r="A1005" s="99"/>
      <c r="B1005" s="106" t="s">
        <v>19</v>
      </c>
      <c r="C1005" s="31">
        <f t="shared" ref="C1005:D1005" si="165">sum(C1001:C1004)</f>
        <v>0</v>
      </c>
      <c r="D1005" s="32">
        <f t="shared" si="165"/>
        <v>4150</v>
      </c>
      <c r="E1005" s="25"/>
    </row>
    <row r="1006" ht="15.75" customHeight="1">
      <c r="A1006" s="101"/>
      <c r="B1006" s="136" t="s">
        <v>247</v>
      </c>
      <c r="C1006" s="53"/>
      <c r="D1006" s="32">
        <f>C1005-D1005</f>
        <v>-4150</v>
      </c>
      <c r="E1006" s="25"/>
    </row>
    <row r="1007" ht="15.75" customHeight="1">
      <c r="A1007" s="190">
        <v>152315.0</v>
      </c>
      <c r="B1007" s="191" t="s">
        <v>249</v>
      </c>
      <c r="C1007" s="192"/>
      <c r="D1007" s="193"/>
      <c r="E1007" s="194"/>
    </row>
    <row r="1008" ht="15.75" customHeight="1">
      <c r="A1008" s="195">
        <v>3011.0</v>
      </c>
      <c r="B1008" s="44" t="s">
        <v>22</v>
      </c>
      <c r="C1008" s="156">
        <f>(295*7)*2</f>
        <v>4130</v>
      </c>
      <c r="D1008" s="196"/>
      <c r="E1008" s="197">
        <f>E1004+1</f>
        <v>107</v>
      </c>
    </row>
    <row r="1009" ht="15.75" customHeight="1">
      <c r="A1009" s="195">
        <v>3030.0</v>
      </c>
      <c r="B1009" s="20" t="s">
        <v>117</v>
      </c>
      <c r="C1009" s="156">
        <f>1200*1.13</f>
        <v>1356</v>
      </c>
      <c r="D1009" s="57"/>
      <c r="E1009" s="197">
        <f t="shared" ref="E1009:E1014" si="166">E1008+1</f>
        <v>108</v>
      </c>
    </row>
    <row r="1010" ht="15.75" customHeight="1">
      <c r="A1010" s="195">
        <v>4010.0</v>
      </c>
      <c r="B1010" s="20" t="s">
        <v>48</v>
      </c>
      <c r="C1010" s="156"/>
      <c r="D1010" s="157">
        <v>600.0</v>
      </c>
      <c r="E1010" s="197">
        <f t="shared" si="166"/>
        <v>109</v>
      </c>
    </row>
    <row r="1011" ht="15.75" customHeight="1">
      <c r="A1011" s="195">
        <v>4012.0</v>
      </c>
      <c r="B1011" s="20" t="s">
        <v>118</v>
      </c>
      <c r="C1011" s="156"/>
      <c r="D1011" s="57">
        <f>C1009/1.9</f>
        <v>713.6842105</v>
      </c>
      <c r="E1011" s="197">
        <f t="shared" si="166"/>
        <v>110</v>
      </c>
    </row>
    <row r="1012" ht="15.75" customHeight="1">
      <c r="A1012" s="195">
        <v>4040.0</v>
      </c>
      <c r="B1012" s="20" t="s">
        <v>24</v>
      </c>
      <c r="C1012" s="156"/>
      <c r="D1012" s="157">
        <f>250*2</f>
        <v>500</v>
      </c>
      <c r="E1012" s="197">
        <f t="shared" si="166"/>
        <v>111</v>
      </c>
    </row>
    <row r="1013" ht="15.75" customHeight="1">
      <c r="A1013" s="195">
        <v>4076.0</v>
      </c>
      <c r="B1013" s="20" t="s">
        <v>29</v>
      </c>
      <c r="C1013" s="156"/>
      <c r="D1013" s="57">
        <f>1500*2+40*12*2</f>
        <v>3960</v>
      </c>
      <c r="E1013" s="197">
        <f t="shared" si="166"/>
        <v>112</v>
      </c>
    </row>
    <row r="1014" ht="15.75" customHeight="1">
      <c r="A1014" s="195">
        <v>6993.0</v>
      </c>
      <c r="B1014" s="20" t="s">
        <v>115</v>
      </c>
      <c r="C1014" s="156"/>
      <c r="D1014" s="57">
        <f>(12.5*7)*3</f>
        <v>262.5</v>
      </c>
      <c r="E1014" s="197">
        <f t="shared" si="166"/>
        <v>113</v>
      </c>
    </row>
    <row r="1015" ht="15.75" customHeight="1">
      <c r="A1015" s="198"/>
      <c r="B1015" s="30" t="s">
        <v>19</v>
      </c>
      <c r="C1015" s="199">
        <f t="shared" ref="C1015:D1015" si="167">SUM(C1008:C1014)</f>
        <v>5486</v>
      </c>
      <c r="D1015" s="200">
        <f t="shared" si="167"/>
        <v>6036.184211</v>
      </c>
      <c r="E1015" s="197"/>
    </row>
    <row r="1016" ht="15.75" customHeight="1">
      <c r="A1016" s="195"/>
      <c r="B1016" s="80" t="s">
        <v>20</v>
      </c>
      <c r="C1016" s="201"/>
      <c r="D1016" s="200">
        <f>C1015-D1015</f>
        <v>-550.1842105</v>
      </c>
      <c r="E1016" s="197"/>
    </row>
    <row r="1017" ht="15.75" customHeight="1">
      <c r="A1017" s="202"/>
      <c r="B1017" s="203" t="s">
        <v>250</v>
      </c>
      <c r="C1017" s="204">
        <f>C865+C879+C924+C933+C939+C944+C975+C969+C963+C914+C899+C983+C988+C998+C1005+C1015</f>
        <v>157896</v>
      </c>
      <c r="D1017" s="205">
        <f>D865+D879+D899+D914+D924+D933+D944+D963+D969+D975+D983+D988+D998+D1005+D1015</f>
        <v>223835.6579</v>
      </c>
      <c r="E1017" s="86"/>
    </row>
    <row r="1018" ht="15.75" customHeight="1">
      <c r="A1018" s="202"/>
      <c r="B1018" s="203" t="s">
        <v>251</v>
      </c>
      <c r="C1018" s="204"/>
      <c r="D1018" s="205">
        <f>C1017-D1017</f>
        <v>-65939.65789</v>
      </c>
      <c r="E1018" s="86"/>
    </row>
    <row r="1019" ht="15.75" customHeight="1">
      <c r="A1019" s="62"/>
      <c r="B1019" s="63"/>
      <c r="C1019" s="64"/>
      <c r="D1019" s="65"/>
      <c r="E1019" s="25"/>
    </row>
    <row r="1020" ht="15.75" customHeight="1">
      <c r="A1020" s="62"/>
      <c r="B1020" s="63"/>
      <c r="C1020" s="64"/>
      <c r="D1020" s="65"/>
      <c r="E1020" s="25"/>
    </row>
    <row r="1021" ht="15.75" customHeight="1">
      <c r="A1021" s="167">
        <v>16.0</v>
      </c>
      <c r="B1021" s="15" t="s">
        <v>252</v>
      </c>
      <c r="C1021" s="16" t="s">
        <v>6</v>
      </c>
      <c r="D1021" s="5"/>
      <c r="E1021" s="9"/>
    </row>
    <row r="1022" ht="15.75" customHeight="1">
      <c r="A1022" s="97">
        <v>162300.0</v>
      </c>
      <c r="B1022" s="58" t="s">
        <v>253</v>
      </c>
      <c r="C1022" s="12" t="s">
        <v>2</v>
      </c>
      <c r="D1022" s="13" t="s">
        <v>3</v>
      </c>
      <c r="E1022" s="14" t="s">
        <v>4</v>
      </c>
    </row>
    <row r="1023" ht="15.75" customHeight="1">
      <c r="A1023" s="62">
        <v>3010.0</v>
      </c>
      <c r="B1023" s="98" t="s">
        <v>2</v>
      </c>
      <c r="C1023" s="39">
        <v>0.0</v>
      </c>
      <c r="D1023" s="206"/>
      <c r="E1023" s="25">
        <v>1.0</v>
      </c>
    </row>
    <row r="1024" ht="15.75" customHeight="1">
      <c r="A1024" s="101">
        <v>3011.0</v>
      </c>
      <c r="B1024" s="102" t="s">
        <v>22</v>
      </c>
      <c r="C1024" s="39">
        <v>0.0</v>
      </c>
      <c r="D1024" s="22"/>
      <c r="E1024" s="25">
        <f>E1023+1</f>
        <v>2</v>
      </c>
    </row>
    <row r="1025" ht="15.75" customHeight="1">
      <c r="A1025" s="163">
        <v>3014.0</v>
      </c>
      <c r="B1025" s="207" t="s">
        <v>55</v>
      </c>
      <c r="C1025" s="39">
        <v>0.0</v>
      </c>
      <c r="D1025" s="22"/>
      <c r="E1025" s="25">
        <v>3.0</v>
      </c>
    </row>
    <row r="1026" ht="15.75" customHeight="1">
      <c r="A1026" s="101">
        <v>3110.0</v>
      </c>
      <c r="B1026" s="102" t="s">
        <v>111</v>
      </c>
      <c r="C1026" s="39">
        <v>0.0</v>
      </c>
      <c r="D1026" s="22"/>
      <c r="E1026" s="25">
        <v>4.0</v>
      </c>
    </row>
    <row r="1027" ht="15.75" customHeight="1">
      <c r="A1027" s="101">
        <v>4010.0</v>
      </c>
      <c r="B1027" s="102" t="s">
        <v>48</v>
      </c>
      <c r="C1027" s="39"/>
      <c r="D1027" s="22">
        <v>0.0</v>
      </c>
      <c r="E1027" s="25">
        <f t="shared" ref="E1027:E1038" si="168">E1026+1</f>
        <v>5</v>
      </c>
    </row>
    <row r="1028" ht="15.75" customHeight="1">
      <c r="A1028" s="62">
        <v>4042.0</v>
      </c>
      <c r="B1028" s="100" t="s">
        <v>67</v>
      </c>
      <c r="C1028" s="39"/>
      <c r="D1028" s="22">
        <v>1000.0</v>
      </c>
      <c r="E1028" s="40">
        <f t="shared" si="168"/>
        <v>6</v>
      </c>
    </row>
    <row r="1029" ht="15.75" customHeight="1">
      <c r="A1029" s="62">
        <v>4047.0</v>
      </c>
      <c r="B1029" s="98" t="s">
        <v>14</v>
      </c>
      <c r="C1029" s="39"/>
      <c r="D1029" s="22">
        <v>0.0</v>
      </c>
      <c r="E1029" s="40">
        <f t="shared" si="168"/>
        <v>7</v>
      </c>
    </row>
    <row r="1030" ht="15.75" customHeight="1">
      <c r="A1030" s="99">
        <v>4050.0</v>
      </c>
      <c r="B1030" s="100" t="s">
        <v>42</v>
      </c>
      <c r="C1030" s="39"/>
      <c r="D1030" s="22">
        <f>sumif($A$1023:$A$1151,"=4190",D1023:D1151)*0.3</f>
        <v>2460</v>
      </c>
      <c r="E1030" s="40">
        <f t="shared" si="168"/>
        <v>8</v>
      </c>
    </row>
    <row r="1031" ht="15.75" customHeight="1">
      <c r="A1031" s="62">
        <v>4060.0</v>
      </c>
      <c r="B1031" s="98" t="s">
        <v>27</v>
      </c>
      <c r="C1031" s="39"/>
      <c r="D1031" s="22">
        <f>550*6+6*80</f>
        <v>3780</v>
      </c>
      <c r="E1031" s="40">
        <f t="shared" si="168"/>
        <v>9</v>
      </c>
    </row>
    <row r="1032" ht="15.75" customHeight="1">
      <c r="A1032" s="62">
        <v>4063.0</v>
      </c>
      <c r="B1032" s="98" t="s">
        <v>70</v>
      </c>
      <c r="C1032" s="39"/>
      <c r="D1032" s="22">
        <v>500.0</v>
      </c>
      <c r="E1032" s="40">
        <f t="shared" si="168"/>
        <v>10</v>
      </c>
    </row>
    <row r="1033" ht="15.75" customHeight="1">
      <c r="A1033" s="62">
        <v>4065.0</v>
      </c>
      <c r="B1033" s="98" t="s">
        <v>16</v>
      </c>
      <c r="C1033" s="39"/>
      <c r="D1033" s="22">
        <v>1000.0</v>
      </c>
      <c r="E1033" s="40">
        <f t="shared" si="168"/>
        <v>11</v>
      </c>
    </row>
    <row r="1034" ht="15.75" customHeight="1">
      <c r="A1034" s="62">
        <v>4076.0</v>
      </c>
      <c r="B1034" s="98" t="s">
        <v>29</v>
      </c>
      <c r="C1034" s="39"/>
      <c r="D1034" s="22">
        <v>0.0</v>
      </c>
      <c r="E1034" s="40">
        <f t="shared" si="168"/>
        <v>12</v>
      </c>
    </row>
    <row r="1035" ht="15.75" customHeight="1">
      <c r="A1035" s="62">
        <v>4080.0</v>
      </c>
      <c r="B1035" s="98" t="s">
        <v>31</v>
      </c>
      <c r="C1035" s="39"/>
      <c r="D1035" s="22">
        <v>4000.0</v>
      </c>
      <c r="E1035" s="40">
        <f t="shared" si="168"/>
        <v>13</v>
      </c>
    </row>
    <row r="1036" ht="15.75" customHeight="1">
      <c r="A1036" s="62">
        <v>4081.0</v>
      </c>
      <c r="B1036" s="103" t="s">
        <v>44</v>
      </c>
      <c r="C1036" s="39"/>
      <c r="D1036" s="22">
        <v>1000.0</v>
      </c>
      <c r="E1036" s="40">
        <f t="shared" si="168"/>
        <v>14</v>
      </c>
    </row>
    <row r="1037" ht="15.75" customHeight="1">
      <c r="A1037" s="62">
        <v>4082.0</v>
      </c>
      <c r="B1037" s="98" t="s">
        <v>45</v>
      </c>
      <c r="C1037" s="39"/>
      <c r="D1037" s="22">
        <f>400+300+4*200</f>
        <v>1500</v>
      </c>
      <c r="E1037" s="40">
        <f t="shared" si="168"/>
        <v>15</v>
      </c>
    </row>
    <row r="1038" ht="15.75" customHeight="1">
      <c r="A1038" s="62">
        <v>4190.0</v>
      </c>
      <c r="B1038" s="98" t="s">
        <v>32</v>
      </c>
      <c r="C1038" s="39"/>
      <c r="D1038" s="22">
        <f>1000+5*600</f>
        <v>4000</v>
      </c>
      <c r="E1038" s="40">
        <f t="shared" si="168"/>
        <v>16</v>
      </c>
    </row>
    <row r="1039" ht="15.75" hidden="1" customHeight="1">
      <c r="A1039" s="108">
        <v>5010.0</v>
      </c>
      <c r="B1039" s="127" t="s">
        <v>56</v>
      </c>
      <c r="C1039" s="39"/>
      <c r="D1039" s="22">
        <v>0.0</v>
      </c>
      <c r="E1039" s="40">
        <v>17.0</v>
      </c>
    </row>
    <row r="1040" ht="15.75" customHeight="1">
      <c r="A1040" s="62">
        <v>5050.0</v>
      </c>
      <c r="B1040" s="98" t="s">
        <v>33</v>
      </c>
      <c r="C1040" s="39"/>
      <c r="D1040" s="22">
        <v>2500.0</v>
      </c>
      <c r="E1040" s="40">
        <v>18.0</v>
      </c>
    </row>
    <row r="1041" ht="15.75" customHeight="1">
      <c r="A1041" s="62">
        <v>5250.0</v>
      </c>
      <c r="B1041" s="127" t="s">
        <v>71</v>
      </c>
      <c r="C1041" s="39"/>
      <c r="D1041" s="22">
        <v>0.0</v>
      </c>
      <c r="E1041" s="40">
        <f t="shared" ref="E1041:E1044" si="169">E1040+1</f>
        <v>19</v>
      </c>
    </row>
    <row r="1042" ht="15.75" customHeight="1">
      <c r="A1042" s="62">
        <v>5420.0</v>
      </c>
      <c r="B1042" s="98" t="s">
        <v>134</v>
      </c>
      <c r="C1042" s="39"/>
      <c r="D1042" s="22">
        <v>6000.0</v>
      </c>
      <c r="E1042" s="25">
        <f t="shared" si="169"/>
        <v>20</v>
      </c>
    </row>
    <row r="1043" ht="15.75" customHeight="1">
      <c r="A1043" s="62">
        <v>5460.0</v>
      </c>
      <c r="B1043" s="98" t="s">
        <v>50</v>
      </c>
      <c r="C1043" s="39"/>
      <c r="D1043" s="22">
        <v>0.0</v>
      </c>
      <c r="E1043" s="25">
        <f t="shared" si="169"/>
        <v>21</v>
      </c>
    </row>
    <row r="1044" ht="15.75" customHeight="1">
      <c r="A1044" s="62">
        <v>5461.0</v>
      </c>
      <c r="B1044" s="98" t="s">
        <v>84</v>
      </c>
      <c r="C1044" s="39"/>
      <c r="D1044" s="22">
        <f>15000</f>
        <v>15000</v>
      </c>
      <c r="E1044" s="25">
        <f t="shared" si="169"/>
        <v>22</v>
      </c>
    </row>
    <row r="1045" ht="15.75" customHeight="1">
      <c r="A1045" s="108">
        <v>6071.0</v>
      </c>
      <c r="B1045" s="127" t="s">
        <v>254</v>
      </c>
      <c r="C1045" s="39"/>
      <c r="D1045" s="22">
        <v>0.0</v>
      </c>
      <c r="E1045" s="25">
        <v>23.0</v>
      </c>
    </row>
    <row r="1046" ht="15.75" customHeight="1">
      <c r="A1046" s="108">
        <v>6993.0</v>
      </c>
      <c r="B1046" s="127" t="s">
        <v>115</v>
      </c>
      <c r="C1046" s="39"/>
      <c r="D1046" s="22">
        <v>0.0</v>
      </c>
      <c r="E1046" s="25">
        <v>24.0</v>
      </c>
    </row>
    <row r="1047" ht="15.75" customHeight="1">
      <c r="A1047" s="62">
        <v>7830.0</v>
      </c>
      <c r="B1047" s="98" t="s">
        <v>86</v>
      </c>
      <c r="C1047" s="39"/>
      <c r="D1047" s="22">
        <v>0.0</v>
      </c>
      <c r="E1047" s="25">
        <v>25.0</v>
      </c>
    </row>
    <row r="1048" ht="15.75" customHeight="1">
      <c r="A1048" s="62">
        <v>7833.0</v>
      </c>
      <c r="B1048" s="98" t="s">
        <v>255</v>
      </c>
      <c r="C1048" s="39"/>
      <c r="D1048" s="22">
        <v>0.0</v>
      </c>
      <c r="E1048" s="25">
        <f>E1047+1</f>
        <v>26</v>
      </c>
    </row>
    <row r="1049" ht="15.75" customHeight="1">
      <c r="A1049" s="101"/>
      <c r="B1049" s="106" t="s">
        <v>19</v>
      </c>
      <c r="C1049" s="31">
        <f t="shared" ref="C1049:D1049" si="170">SUM(C1023:C1048)</f>
        <v>0</v>
      </c>
      <c r="D1049" s="32">
        <f t="shared" si="170"/>
        <v>42740</v>
      </c>
      <c r="E1049" s="25"/>
    </row>
    <row r="1050" ht="15.75" customHeight="1">
      <c r="A1050" s="62"/>
      <c r="B1050" s="136" t="s">
        <v>20</v>
      </c>
      <c r="C1050" s="39"/>
      <c r="D1050" s="32">
        <f>C1049-D1049</f>
        <v>-42740</v>
      </c>
      <c r="E1050" s="40"/>
    </row>
    <row r="1051" ht="15.75" customHeight="1">
      <c r="A1051" s="97">
        <v>162301.0</v>
      </c>
      <c r="B1051" s="208" t="s">
        <v>256</v>
      </c>
      <c r="C1051" s="75"/>
      <c r="D1051" s="76"/>
      <c r="E1051" s="177"/>
    </row>
    <row r="1052" ht="15.75" hidden="1" customHeight="1">
      <c r="A1052" s="62">
        <v>6550.0</v>
      </c>
      <c r="B1052" s="98" t="s">
        <v>136</v>
      </c>
      <c r="C1052" s="39"/>
      <c r="D1052" s="22">
        <v>0.0</v>
      </c>
      <c r="E1052" s="25">
        <f>E1048+1</f>
        <v>27</v>
      </c>
    </row>
    <row r="1053" ht="15.75" hidden="1" customHeight="1">
      <c r="A1053" s="62">
        <v>6991.0</v>
      </c>
      <c r="B1053" s="98" t="s">
        <v>183</v>
      </c>
      <c r="C1053" s="39"/>
      <c r="D1053" s="22">
        <v>0.0</v>
      </c>
      <c r="E1053" s="25">
        <f>E1052+1</f>
        <v>28</v>
      </c>
    </row>
    <row r="1054" ht="15.75" hidden="1" customHeight="1">
      <c r="A1054" s="62"/>
      <c r="B1054" s="106" t="s">
        <v>19</v>
      </c>
      <c r="C1054" s="31">
        <f t="shared" ref="C1054:D1054" si="171">SUM(C1052:C1053)</f>
        <v>0</v>
      </c>
      <c r="D1054" s="22">
        <f t="shared" si="171"/>
        <v>0</v>
      </c>
      <c r="E1054" s="25"/>
    </row>
    <row r="1055" ht="15.75" hidden="1" customHeight="1">
      <c r="A1055" s="101"/>
      <c r="B1055" s="136" t="s">
        <v>20</v>
      </c>
      <c r="C1055" s="53"/>
      <c r="D1055" s="32">
        <f>C1054-D1054</f>
        <v>0</v>
      </c>
      <c r="E1055" s="40"/>
    </row>
    <row r="1056" ht="15.75" customHeight="1">
      <c r="A1056" s="97">
        <v>162302.0</v>
      </c>
      <c r="B1056" s="208" t="s">
        <v>257</v>
      </c>
      <c r="C1056" s="84"/>
      <c r="D1056" s="85"/>
      <c r="E1056" s="86"/>
    </row>
    <row r="1057" ht="15.75" customHeight="1">
      <c r="A1057" s="183">
        <v>4070.0</v>
      </c>
      <c r="B1057" s="209" t="s">
        <v>28</v>
      </c>
      <c r="C1057" s="31"/>
      <c r="D1057" s="29">
        <v>2000.0</v>
      </c>
      <c r="E1057" s="25">
        <f>E1048+1</f>
        <v>27</v>
      </c>
    </row>
    <row r="1058" ht="15.75" customHeight="1">
      <c r="A1058" s="99">
        <v>5255.0</v>
      </c>
      <c r="B1058" s="137" t="s">
        <v>258</v>
      </c>
      <c r="C1058" s="31"/>
      <c r="D1058" s="22">
        <v>25000.0</v>
      </c>
      <c r="E1058" s="25">
        <f t="shared" ref="E1058:E1063" si="172">E1057+1</f>
        <v>28</v>
      </c>
    </row>
    <row r="1059" ht="15.75" customHeight="1">
      <c r="A1059" s="99">
        <v>5420.0</v>
      </c>
      <c r="B1059" s="137" t="s">
        <v>134</v>
      </c>
      <c r="C1059" s="31"/>
      <c r="D1059" s="22">
        <v>3000.0</v>
      </c>
      <c r="E1059" s="25">
        <f t="shared" si="172"/>
        <v>29</v>
      </c>
    </row>
    <row r="1060" ht="15.75" customHeight="1">
      <c r="A1060" s="99">
        <v>6570.0</v>
      </c>
      <c r="B1060" s="137" t="s">
        <v>85</v>
      </c>
      <c r="C1060" s="31"/>
      <c r="D1060" s="29">
        <v>2500.0</v>
      </c>
      <c r="E1060" s="25">
        <f t="shared" si="172"/>
        <v>30</v>
      </c>
    </row>
    <row r="1061" ht="15.75" customHeight="1">
      <c r="A1061" s="62">
        <v>6560.0</v>
      </c>
      <c r="B1061" s="98" t="s">
        <v>259</v>
      </c>
      <c r="C1061" s="39"/>
      <c r="D1061" s="22">
        <v>34500.0</v>
      </c>
      <c r="E1061" s="24">
        <f t="shared" si="172"/>
        <v>31</v>
      </c>
    </row>
    <row r="1062" ht="15.75" customHeight="1">
      <c r="A1062" s="62">
        <v>6550.0</v>
      </c>
      <c r="B1062" s="100" t="s">
        <v>136</v>
      </c>
      <c r="C1062" s="39"/>
      <c r="D1062" s="29">
        <v>150000.0</v>
      </c>
      <c r="E1062" s="24">
        <f t="shared" si="172"/>
        <v>32</v>
      </c>
    </row>
    <row r="1063" ht="15.75" customHeight="1">
      <c r="A1063" s="62">
        <v>7833.0</v>
      </c>
      <c r="B1063" s="98" t="s">
        <v>255</v>
      </c>
      <c r="C1063" s="39"/>
      <c r="D1063" s="22">
        <f>'VKO New Investments &amp; Depreciat'!$B$42</f>
        <v>26228.57143</v>
      </c>
      <c r="E1063" s="24">
        <f t="shared" si="172"/>
        <v>33</v>
      </c>
    </row>
    <row r="1064" ht="15.75" customHeight="1">
      <c r="A1064" s="62"/>
      <c r="B1064" s="106" t="s">
        <v>19</v>
      </c>
      <c r="C1064" s="31">
        <f t="shared" ref="C1064:D1064" si="173">SUM(C1057:C1063)</f>
        <v>0</v>
      </c>
      <c r="D1064" s="32">
        <f t="shared" si="173"/>
        <v>243228.5714</v>
      </c>
      <c r="E1064" s="25"/>
    </row>
    <row r="1065" ht="15.75" customHeight="1">
      <c r="A1065" s="101"/>
      <c r="B1065" s="136" t="s">
        <v>20</v>
      </c>
      <c r="C1065" s="39"/>
      <c r="D1065" s="32">
        <f>C1064-D1064</f>
        <v>-243228.5714</v>
      </c>
      <c r="E1065" s="40"/>
    </row>
    <row r="1066" ht="15.75" customHeight="1">
      <c r="A1066" s="97">
        <v>162303.0</v>
      </c>
      <c r="B1066" s="210" t="s">
        <v>260</v>
      </c>
      <c r="C1066" s="75"/>
      <c r="D1066" s="76"/>
      <c r="E1066" s="86"/>
    </row>
    <row r="1067" ht="15.75" customHeight="1">
      <c r="A1067" s="99">
        <v>3011.0</v>
      </c>
      <c r="B1067" s="100" t="s">
        <v>22</v>
      </c>
      <c r="C1067" s="39">
        <v>0.0</v>
      </c>
      <c r="D1067" s="22"/>
      <c r="E1067" s="25">
        <f>E1063+1</f>
        <v>34</v>
      </c>
    </row>
    <row r="1068" ht="15.75" customHeight="1">
      <c r="A1068" s="99">
        <v>4047.0</v>
      </c>
      <c r="B1068" s="100" t="s">
        <v>14</v>
      </c>
      <c r="C1068" s="39"/>
      <c r="D1068" s="29">
        <v>1000.0</v>
      </c>
      <c r="E1068" s="25">
        <f t="shared" ref="E1068:E1073" si="174">E1067+1</f>
        <v>35</v>
      </c>
    </row>
    <row r="1069" ht="15.75" customHeight="1">
      <c r="A1069" s="122">
        <v>4060.0</v>
      </c>
      <c r="B1069" s="104" t="s">
        <v>27</v>
      </c>
      <c r="C1069" s="39"/>
      <c r="D1069" s="22">
        <f>200*2</f>
        <v>400</v>
      </c>
      <c r="E1069" s="25">
        <f t="shared" si="174"/>
        <v>36</v>
      </c>
    </row>
    <row r="1070" ht="15.75" customHeight="1">
      <c r="A1070" s="122">
        <v>4063.0</v>
      </c>
      <c r="B1070" s="104" t="s">
        <v>70</v>
      </c>
      <c r="C1070" s="39"/>
      <c r="D1070" s="22">
        <v>500.0</v>
      </c>
      <c r="E1070" s="25">
        <f t="shared" si="174"/>
        <v>37</v>
      </c>
    </row>
    <row r="1071" ht="15.75" customHeight="1">
      <c r="A1071" s="122">
        <v>4076.0</v>
      </c>
      <c r="B1071" s="104" t="s">
        <v>29</v>
      </c>
      <c r="C1071" s="39"/>
      <c r="D1071" s="22">
        <f>3750*2</f>
        <v>7500</v>
      </c>
      <c r="E1071" s="25">
        <f t="shared" si="174"/>
        <v>38</v>
      </c>
    </row>
    <row r="1072" ht="15.75" customHeight="1">
      <c r="A1072" s="122">
        <v>4082.0</v>
      </c>
      <c r="B1072" s="104" t="s">
        <v>45</v>
      </c>
      <c r="C1072" s="39"/>
      <c r="D1072" s="211">
        <f>100</f>
        <v>100</v>
      </c>
      <c r="E1072" s="212">
        <f t="shared" si="174"/>
        <v>39</v>
      </c>
    </row>
    <row r="1073" ht="15.75" customHeight="1">
      <c r="A1073" s="122">
        <v>4190.0</v>
      </c>
      <c r="B1073" s="104" t="s">
        <v>32</v>
      </c>
      <c r="C1073" s="39"/>
      <c r="D1073" s="213">
        <f>100*3+200</f>
        <v>500</v>
      </c>
      <c r="E1073" s="25">
        <f t="shared" si="174"/>
        <v>40</v>
      </c>
    </row>
    <row r="1074" ht="15.75" customHeight="1">
      <c r="A1074" s="62"/>
      <c r="B1074" s="106" t="s">
        <v>19</v>
      </c>
      <c r="C1074" s="31">
        <f t="shared" ref="C1074:D1074" si="175">SUM(C1067:C1073)</f>
        <v>0</v>
      </c>
      <c r="D1074" s="32">
        <f t="shared" si="175"/>
        <v>10000</v>
      </c>
      <c r="E1074" s="25"/>
    </row>
    <row r="1075" ht="15.75" customHeight="1">
      <c r="A1075" s="101"/>
      <c r="B1075" s="136" t="s">
        <v>20</v>
      </c>
      <c r="C1075" s="39"/>
      <c r="D1075" s="32">
        <f>C1074-D1074</f>
        <v>-10000</v>
      </c>
      <c r="E1075" s="40"/>
    </row>
    <row r="1076" ht="15.75" customHeight="1">
      <c r="A1076" s="97">
        <v>162304.0</v>
      </c>
      <c r="B1076" s="208" t="s">
        <v>261</v>
      </c>
      <c r="C1076" s="75"/>
      <c r="D1076" s="76"/>
      <c r="E1076" s="86"/>
    </row>
    <row r="1077" ht="15.75" hidden="1" customHeight="1">
      <c r="A1077" s="99">
        <v>5255.0</v>
      </c>
      <c r="B1077" s="100" t="s">
        <v>258</v>
      </c>
      <c r="C1077" s="39"/>
      <c r="D1077" s="22"/>
      <c r="E1077" s="25"/>
    </row>
    <row r="1078" ht="15.75" hidden="1" customHeight="1">
      <c r="A1078" s="99">
        <v>5255.0</v>
      </c>
      <c r="B1078" s="100" t="s">
        <v>258</v>
      </c>
      <c r="C1078" s="39"/>
      <c r="D1078" s="22"/>
      <c r="E1078" s="25"/>
    </row>
    <row r="1079" ht="15.75" hidden="1" customHeight="1">
      <c r="A1079" s="99">
        <v>6991.0</v>
      </c>
      <c r="B1079" s="100" t="s">
        <v>183</v>
      </c>
      <c r="C1079" s="39"/>
      <c r="D1079" s="22">
        <v>0.0</v>
      </c>
      <c r="E1079" s="25"/>
    </row>
    <row r="1080" ht="15.75" hidden="1" customHeight="1">
      <c r="A1080" s="62"/>
      <c r="B1080" s="106" t="s">
        <v>19</v>
      </c>
      <c r="C1080" s="31">
        <f t="shared" ref="C1080:D1080" si="176">SUM(C1077:C1079)</f>
        <v>0</v>
      </c>
      <c r="D1080" s="22">
        <f t="shared" si="176"/>
        <v>0</v>
      </c>
      <c r="E1080" s="25"/>
    </row>
    <row r="1081" ht="15.75" hidden="1" customHeight="1">
      <c r="A1081" s="101"/>
      <c r="B1081" s="136" t="s">
        <v>20</v>
      </c>
      <c r="C1081" s="53"/>
      <c r="D1081" s="32">
        <f>C1080-D1080</f>
        <v>0</v>
      </c>
      <c r="E1081" s="40"/>
    </row>
    <row r="1082" ht="15.75" customHeight="1">
      <c r="A1082" s="97">
        <v>162305.0</v>
      </c>
      <c r="B1082" s="208" t="s">
        <v>262</v>
      </c>
      <c r="C1082" s="75"/>
      <c r="D1082" s="76"/>
      <c r="E1082" s="86"/>
    </row>
    <row r="1083" ht="15.75" hidden="1" customHeight="1">
      <c r="A1083" s="101">
        <v>4010.0</v>
      </c>
      <c r="B1083" s="98" t="s">
        <v>48</v>
      </c>
      <c r="C1083" s="53"/>
      <c r="D1083" s="22">
        <v>0.0</v>
      </c>
      <c r="E1083" s="40"/>
    </row>
    <row r="1084" ht="15.75" hidden="1" customHeight="1">
      <c r="A1084" s="101">
        <v>4190.0</v>
      </c>
      <c r="B1084" s="102" t="s">
        <v>32</v>
      </c>
      <c r="C1084" s="53"/>
      <c r="D1084" s="22">
        <v>0.0</v>
      </c>
      <c r="E1084" s="40"/>
    </row>
    <row r="1085" ht="15.75" hidden="1" customHeight="1">
      <c r="A1085" s="101">
        <v>6550.0</v>
      </c>
      <c r="B1085" s="98" t="s">
        <v>136</v>
      </c>
      <c r="C1085" s="53"/>
      <c r="D1085" s="22">
        <v>0.0</v>
      </c>
      <c r="E1085" s="40"/>
    </row>
    <row r="1086" ht="15.75" hidden="1" customHeight="1">
      <c r="A1086" s="101"/>
      <c r="B1086" s="106" t="s">
        <v>19</v>
      </c>
      <c r="C1086" s="31">
        <f>SUM(C1082:C1084)</f>
        <v>0</v>
      </c>
      <c r="D1086" s="22">
        <f>SUM(D1082:D1085)</f>
        <v>0</v>
      </c>
      <c r="E1086" s="40"/>
    </row>
    <row r="1087" ht="15.75" hidden="1" customHeight="1">
      <c r="A1087" s="101"/>
      <c r="B1087" s="136" t="s">
        <v>20</v>
      </c>
      <c r="C1087" s="53"/>
      <c r="D1087" s="32">
        <f>C1086-D1086</f>
        <v>0</v>
      </c>
      <c r="E1087" s="40"/>
    </row>
    <row r="1088" ht="15.75" customHeight="1">
      <c r="A1088" s="125">
        <v>162306.0</v>
      </c>
      <c r="B1088" s="126" t="s">
        <v>263</v>
      </c>
      <c r="C1088" s="75"/>
      <c r="D1088" s="76"/>
      <c r="E1088" s="86"/>
    </row>
    <row r="1089" ht="15.75" hidden="1" customHeight="1">
      <c r="A1089" s="62">
        <v>3110.0</v>
      </c>
      <c r="B1089" s="98" t="s">
        <v>111</v>
      </c>
      <c r="C1089" s="39"/>
      <c r="D1089" s="22"/>
      <c r="E1089" s="25"/>
    </row>
    <row r="1090" ht="15.75" hidden="1" customHeight="1">
      <c r="A1090" s="62">
        <v>4010.0</v>
      </c>
      <c r="B1090" s="98" t="s">
        <v>48</v>
      </c>
      <c r="C1090" s="39"/>
      <c r="D1090" s="22"/>
      <c r="E1090" s="25"/>
    </row>
    <row r="1091" ht="15.75" hidden="1" customHeight="1">
      <c r="A1091" s="62">
        <v>4040.0</v>
      </c>
      <c r="B1091" s="98" t="s">
        <v>24</v>
      </c>
      <c r="C1091" s="39"/>
      <c r="D1091" s="22"/>
      <c r="E1091" s="25"/>
    </row>
    <row r="1092" ht="15.75" hidden="1" customHeight="1">
      <c r="A1092" s="62">
        <v>4047.0</v>
      </c>
      <c r="B1092" s="98" t="s">
        <v>14</v>
      </c>
      <c r="C1092" s="39"/>
      <c r="D1092" s="22"/>
      <c r="E1092" s="25"/>
    </row>
    <row r="1093" ht="15.75" hidden="1" customHeight="1">
      <c r="A1093" s="62">
        <v>4069.0</v>
      </c>
      <c r="B1093" s="98" t="s">
        <v>181</v>
      </c>
      <c r="C1093" s="39"/>
      <c r="D1093" s="22"/>
      <c r="E1093" s="25"/>
    </row>
    <row r="1094" ht="15.75" hidden="1" customHeight="1">
      <c r="A1094" s="62">
        <v>4076.0</v>
      </c>
      <c r="B1094" s="98" t="s">
        <v>29</v>
      </c>
      <c r="C1094" s="39"/>
      <c r="D1094" s="22"/>
      <c r="E1094" s="25"/>
    </row>
    <row r="1095" ht="15.75" hidden="1" customHeight="1">
      <c r="A1095" s="62">
        <v>4078.0</v>
      </c>
      <c r="B1095" s="98" t="s">
        <v>30</v>
      </c>
      <c r="C1095" s="39"/>
      <c r="D1095" s="22"/>
      <c r="E1095" s="25"/>
    </row>
    <row r="1096" ht="15.75" hidden="1" customHeight="1">
      <c r="A1096" s="62">
        <v>4190.0</v>
      </c>
      <c r="B1096" s="98" t="s">
        <v>32</v>
      </c>
      <c r="C1096" s="39"/>
      <c r="D1096" s="22"/>
      <c r="E1096" s="25"/>
    </row>
    <row r="1097" ht="15.75" hidden="1" customHeight="1">
      <c r="A1097" s="62">
        <v>5460.0</v>
      </c>
      <c r="B1097" s="98" t="s">
        <v>50</v>
      </c>
      <c r="C1097" s="39"/>
      <c r="D1097" s="22"/>
      <c r="E1097" s="25"/>
    </row>
    <row r="1098" ht="15.75" hidden="1" customHeight="1">
      <c r="A1098" s="62">
        <v>5710.0</v>
      </c>
      <c r="B1098" s="98" t="s">
        <v>143</v>
      </c>
      <c r="C1098" s="39"/>
      <c r="D1098" s="22"/>
      <c r="E1098" s="25"/>
    </row>
    <row r="1099" ht="15.75" hidden="1" customHeight="1">
      <c r="A1099" s="62"/>
      <c r="B1099" s="135" t="s">
        <v>19</v>
      </c>
      <c r="C1099" s="31">
        <f>SUM(C1089:C1098)</f>
        <v>0</v>
      </c>
      <c r="D1099" s="32">
        <f>SUM(D1090:D1098)</f>
        <v>0</v>
      </c>
      <c r="E1099" s="40"/>
    </row>
    <row r="1100" ht="15.75" hidden="1" customHeight="1">
      <c r="A1100" s="62"/>
      <c r="B1100" s="135" t="s">
        <v>20</v>
      </c>
      <c r="C1100" s="31"/>
      <c r="D1100" s="32">
        <f>C1099-D1099</f>
        <v>0</v>
      </c>
      <c r="E1100" s="40"/>
    </row>
    <row r="1101" ht="15.75" customHeight="1">
      <c r="A1101" s="125">
        <v>162307.0</v>
      </c>
      <c r="B1101" s="126" t="s">
        <v>264</v>
      </c>
      <c r="C1101" s="35"/>
      <c r="D1101" s="36"/>
      <c r="E1101" s="86"/>
    </row>
    <row r="1102" ht="15.75" customHeight="1">
      <c r="A1102" s="62">
        <v>5250.0</v>
      </c>
      <c r="B1102" s="127" t="s">
        <v>71</v>
      </c>
      <c r="C1102" s="39"/>
      <c r="D1102" s="22">
        <v>0.0</v>
      </c>
      <c r="E1102" s="25">
        <f>E1073+1</f>
        <v>41</v>
      </c>
    </row>
    <row r="1103" ht="15.75" customHeight="1">
      <c r="A1103" s="62">
        <v>6230.0</v>
      </c>
      <c r="B1103" s="98" t="s">
        <v>265</v>
      </c>
      <c r="C1103" s="39"/>
      <c r="D1103" s="22">
        <v>21164.0</v>
      </c>
      <c r="E1103" s="25">
        <f t="shared" ref="E1103:E1106" si="177">E1102+1</f>
        <v>42</v>
      </c>
    </row>
    <row r="1104" ht="15.75" customHeight="1">
      <c r="A1104" s="62">
        <v>6550.0</v>
      </c>
      <c r="B1104" s="98" t="s">
        <v>136</v>
      </c>
      <c r="C1104" s="39"/>
      <c r="D1104" s="22">
        <v>0.0</v>
      </c>
      <c r="E1104" s="25">
        <f t="shared" si="177"/>
        <v>43</v>
      </c>
    </row>
    <row r="1105" ht="15.75" customHeight="1">
      <c r="A1105" s="62">
        <v>6560.0</v>
      </c>
      <c r="B1105" s="98" t="s">
        <v>259</v>
      </c>
      <c r="C1105" s="39"/>
      <c r="D1105" s="22">
        <v>0.0</v>
      </c>
      <c r="E1105" s="25">
        <f t="shared" si="177"/>
        <v>44</v>
      </c>
    </row>
    <row r="1106" ht="15.75" customHeight="1">
      <c r="A1106" s="62">
        <v>7832.0</v>
      </c>
      <c r="B1106" s="98" t="s">
        <v>108</v>
      </c>
      <c r="C1106" s="39"/>
      <c r="D1106" s="22">
        <f>'VKO New Investments &amp; Depreciat'!$B$43</f>
        <v>0</v>
      </c>
      <c r="E1106" s="25">
        <f t="shared" si="177"/>
        <v>45</v>
      </c>
    </row>
    <row r="1107" ht="15.75" customHeight="1">
      <c r="A1107" s="62"/>
      <c r="B1107" s="135" t="s">
        <v>19</v>
      </c>
      <c r="C1107" s="31">
        <f t="shared" ref="C1107:D1107" si="178">SUM(C1102:C1106)</f>
        <v>0</v>
      </c>
      <c r="D1107" s="32">
        <f t="shared" si="178"/>
        <v>21164</v>
      </c>
      <c r="E1107" s="40"/>
    </row>
    <row r="1108" ht="15.75" customHeight="1">
      <c r="A1108" s="62"/>
      <c r="B1108" s="135" t="s">
        <v>20</v>
      </c>
      <c r="C1108" s="39"/>
      <c r="D1108" s="32">
        <f>C1107-D1107</f>
        <v>-21164</v>
      </c>
      <c r="E1108" s="40"/>
    </row>
    <row r="1109" ht="15.75" customHeight="1">
      <c r="A1109" s="125">
        <v>162308.0</v>
      </c>
      <c r="B1109" s="132" t="s">
        <v>266</v>
      </c>
      <c r="C1109" s="35"/>
      <c r="D1109" s="36"/>
      <c r="E1109" s="86"/>
    </row>
    <row r="1110" ht="15.75" customHeight="1">
      <c r="A1110" s="62">
        <v>3110.0</v>
      </c>
      <c r="B1110" s="214" t="s">
        <v>111</v>
      </c>
      <c r="C1110" s="39">
        <v>0.0</v>
      </c>
      <c r="D1110" s="22"/>
      <c r="E1110" s="25">
        <f>E1106+1</f>
        <v>46</v>
      </c>
    </row>
    <row r="1111" ht="15.75" customHeight="1">
      <c r="A1111" s="62">
        <v>4040.0</v>
      </c>
      <c r="B1111" s="214" t="s">
        <v>24</v>
      </c>
      <c r="C1111" s="39"/>
      <c r="D1111" s="22">
        <f>100*6</f>
        <v>600</v>
      </c>
      <c r="E1111" s="25">
        <f t="shared" ref="E1111:E1118" si="179">E1110+1</f>
        <v>47</v>
      </c>
    </row>
    <row r="1112" ht="15.75" customHeight="1">
      <c r="A1112" s="62">
        <v>4047.0</v>
      </c>
      <c r="B1112" s="98" t="s">
        <v>14</v>
      </c>
      <c r="C1112" s="39"/>
      <c r="D1112" s="22">
        <v>500.0</v>
      </c>
      <c r="E1112" s="25">
        <f t="shared" si="179"/>
        <v>48</v>
      </c>
    </row>
    <row r="1113" ht="15.75" customHeight="1">
      <c r="A1113" s="62">
        <v>4060.0</v>
      </c>
      <c r="B1113" s="214" t="s">
        <v>27</v>
      </c>
      <c r="C1113" s="39"/>
      <c r="D1113" s="22">
        <f>6*200</f>
        <v>1200</v>
      </c>
      <c r="E1113" s="25">
        <f t="shared" si="179"/>
        <v>49</v>
      </c>
    </row>
    <row r="1114" ht="15.75" customHeight="1">
      <c r="A1114" s="108">
        <v>4063.0</v>
      </c>
      <c r="B1114" s="215" t="s">
        <v>70</v>
      </c>
      <c r="C1114" s="39"/>
      <c r="D1114" s="22">
        <v>500.0</v>
      </c>
      <c r="E1114" s="25">
        <f t="shared" si="179"/>
        <v>50</v>
      </c>
    </row>
    <row r="1115" ht="15.75" customHeight="1">
      <c r="A1115" s="62">
        <v>4069.0</v>
      </c>
      <c r="B1115" s="216" t="s">
        <v>181</v>
      </c>
      <c r="C1115" s="39"/>
      <c r="D1115" s="22">
        <v>0.0</v>
      </c>
      <c r="E1115" s="25">
        <f t="shared" si="179"/>
        <v>51</v>
      </c>
    </row>
    <row r="1116" ht="15.75" customHeight="1">
      <c r="A1116" s="62">
        <v>4076.0</v>
      </c>
      <c r="B1116" s="216" t="s">
        <v>29</v>
      </c>
      <c r="C1116" s="39"/>
      <c r="D1116" s="22">
        <f>6*(20*75)+2*(15*25)</f>
        <v>9750</v>
      </c>
      <c r="E1116" s="25">
        <f t="shared" si="179"/>
        <v>52</v>
      </c>
    </row>
    <row r="1117" ht="15.75" customHeight="1">
      <c r="A1117" s="108">
        <v>4082.0</v>
      </c>
      <c r="B1117" s="127" t="s">
        <v>45</v>
      </c>
      <c r="C1117" s="39"/>
      <c r="D1117" s="22">
        <f>1*200+8*100</f>
        <v>1000</v>
      </c>
      <c r="E1117" s="25">
        <f t="shared" si="179"/>
        <v>53</v>
      </c>
    </row>
    <row r="1118" ht="15.75" customHeight="1">
      <c r="A1118" s="62">
        <v>4190.0</v>
      </c>
      <c r="B1118" s="98" t="s">
        <v>32</v>
      </c>
      <c r="C1118" s="39"/>
      <c r="D1118" s="22">
        <f>400+300+4*200+3*100</f>
        <v>1800</v>
      </c>
      <c r="E1118" s="25">
        <f t="shared" si="179"/>
        <v>54</v>
      </c>
    </row>
    <row r="1119" ht="15.75" customHeight="1">
      <c r="A1119" s="62"/>
      <c r="B1119" s="135" t="s">
        <v>19</v>
      </c>
      <c r="C1119" s="31">
        <f t="shared" ref="C1119:D1119" si="180">SUM(C1110:C1118)</f>
        <v>0</v>
      </c>
      <c r="D1119" s="32">
        <f t="shared" si="180"/>
        <v>15350</v>
      </c>
      <c r="E1119" s="40"/>
    </row>
    <row r="1120" ht="15.75" customHeight="1">
      <c r="A1120" s="62"/>
      <c r="B1120" s="135" t="s">
        <v>20</v>
      </c>
      <c r="C1120" s="39"/>
      <c r="D1120" s="32">
        <f>C1119-D1119</f>
        <v>-15350</v>
      </c>
      <c r="E1120" s="40"/>
    </row>
    <row r="1121" ht="15.75" customHeight="1">
      <c r="A1121" s="125">
        <v>162309.0</v>
      </c>
      <c r="B1121" s="126" t="s">
        <v>267</v>
      </c>
      <c r="C1121" s="35"/>
      <c r="D1121" s="36"/>
      <c r="E1121" s="86"/>
    </row>
    <row r="1122" ht="15.75" hidden="1" customHeight="1">
      <c r="A1122" s="217">
        <v>4047.0</v>
      </c>
      <c r="B1122" s="218" t="s">
        <v>14</v>
      </c>
      <c r="C1122" s="39"/>
      <c r="D1122" s="22">
        <v>0.0</v>
      </c>
      <c r="E1122" s="25">
        <f>E1118+1</f>
        <v>55</v>
      </c>
    </row>
    <row r="1123" ht="15.75" hidden="1" customHeight="1">
      <c r="A1123" s="219">
        <v>4040.0</v>
      </c>
      <c r="B1123" s="65" t="s">
        <v>24</v>
      </c>
      <c r="C1123" s="39"/>
      <c r="D1123" s="29">
        <v>0.0</v>
      </c>
      <c r="E1123" s="25">
        <f t="shared" ref="E1123:E1128" si="181">E1122+1</f>
        <v>56</v>
      </c>
    </row>
    <row r="1124" ht="15.75" hidden="1" customHeight="1">
      <c r="A1124" s="219">
        <v>4060.0</v>
      </c>
      <c r="B1124" s="65" t="s">
        <v>27</v>
      </c>
      <c r="C1124" s="39"/>
      <c r="D1124" s="29">
        <v>0.0</v>
      </c>
      <c r="E1124" s="25">
        <f t="shared" si="181"/>
        <v>57</v>
      </c>
    </row>
    <row r="1125" ht="15.75" hidden="1" customHeight="1">
      <c r="A1125" s="220">
        <v>4069.0</v>
      </c>
      <c r="B1125" s="221" t="s">
        <v>181</v>
      </c>
      <c r="C1125" s="39"/>
      <c r="D1125" s="29">
        <v>0.0</v>
      </c>
      <c r="E1125" s="25">
        <f t="shared" si="181"/>
        <v>58</v>
      </c>
    </row>
    <row r="1126" ht="15.75" hidden="1" customHeight="1">
      <c r="A1126" s="220">
        <v>4076.0</v>
      </c>
      <c r="B1126" s="221" t="s">
        <v>29</v>
      </c>
      <c r="C1126" s="39"/>
      <c r="D1126" s="29">
        <v>0.0</v>
      </c>
      <c r="E1126" s="25">
        <f t="shared" si="181"/>
        <v>59</v>
      </c>
    </row>
    <row r="1127" ht="15.75" hidden="1" customHeight="1">
      <c r="A1127" s="219">
        <v>4082.0</v>
      </c>
      <c r="B1127" s="65" t="s">
        <v>45</v>
      </c>
      <c r="C1127" s="39"/>
      <c r="D1127" s="29">
        <v>0.0</v>
      </c>
      <c r="E1127" s="25">
        <f t="shared" si="181"/>
        <v>60</v>
      </c>
    </row>
    <row r="1128" ht="15.75" hidden="1" customHeight="1">
      <c r="A1128" s="219">
        <v>4190.0</v>
      </c>
      <c r="B1128" s="65" t="s">
        <v>32</v>
      </c>
      <c r="C1128" s="39"/>
      <c r="D1128" s="29">
        <v>0.0</v>
      </c>
      <c r="E1128" s="25">
        <f t="shared" si="181"/>
        <v>61</v>
      </c>
    </row>
    <row r="1129" ht="15.75" hidden="1" customHeight="1">
      <c r="A1129" s="62"/>
      <c r="B1129" s="135" t="s">
        <v>19</v>
      </c>
      <c r="C1129" s="31">
        <f t="shared" ref="C1129:D1129" si="182">SUM(C1122:C1128)</f>
        <v>0</v>
      </c>
      <c r="D1129" s="32">
        <f t="shared" si="182"/>
        <v>0</v>
      </c>
      <c r="E1129" s="40"/>
    </row>
    <row r="1130" ht="15.75" hidden="1" customHeight="1">
      <c r="A1130" s="62"/>
      <c r="B1130" s="135" t="s">
        <v>20</v>
      </c>
      <c r="C1130" s="39"/>
      <c r="D1130" s="32">
        <f>C1129-D1129</f>
        <v>0</v>
      </c>
      <c r="E1130" s="40"/>
    </row>
    <row r="1131" ht="15.75" customHeight="1">
      <c r="A1131" s="125">
        <v>162310.0</v>
      </c>
      <c r="B1131" s="126" t="s">
        <v>268</v>
      </c>
      <c r="C1131" s="35"/>
      <c r="D1131" s="36"/>
      <c r="E1131" s="86"/>
    </row>
    <row r="1132" ht="15.75" hidden="1" customHeight="1">
      <c r="A1132" s="66">
        <v>4060.0</v>
      </c>
      <c r="B1132" s="214" t="s">
        <v>27</v>
      </c>
      <c r="C1132" s="39"/>
      <c r="D1132" s="29">
        <v>0.0</v>
      </c>
      <c r="E1132" s="25">
        <f>E1128+1</f>
        <v>62</v>
      </c>
    </row>
    <row r="1133" ht="15.75" hidden="1" customHeight="1">
      <c r="A1133" s="219">
        <v>4076.0</v>
      </c>
      <c r="B1133" s="65" t="s">
        <v>29</v>
      </c>
      <c r="C1133" s="39"/>
      <c r="D1133" s="29">
        <v>0.0</v>
      </c>
      <c r="E1133" s="25">
        <f t="shared" ref="E1133:E1135" si="183">E1132+1</f>
        <v>63</v>
      </c>
    </row>
    <row r="1134" ht="15.75" hidden="1" customHeight="1">
      <c r="A1134" s="219">
        <v>4082.0</v>
      </c>
      <c r="B1134" s="65" t="s">
        <v>45</v>
      </c>
      <c r="C1134" s="39"/>
      <c r="D1134" s="29">
        <v>0.0</v>
      </c>
      <c r="E1134" s="25">
        <f t="shared" si="183"/>
        <v>64</v>
      </c>
    </row>
    <row r="1135" ht="15.75" hidden="1" customHeight="1">
      <c r="A1135" s="220">
        <v>4190.0</v>
      </c>
      <c r="B1135" s="221" t="s">
        <v>32</v>
      </c>
      <c r="C1135" s="39"/>
      <c r="D1135" s="29">
        <v>0.0</v>
      </c>
      <c r="E1135" s="25">
        <f t="shared" si="183"/>
        <v>65</v>
      </c>
    </row>
    <row r="1136" ht="15.75" hidden="1" customHeight="1">
      <c r="A1136" s="62"/>
      <c r="B1136" s="135" t="s">
        <v>19</v>
      </c>
      <c r="C1136" s="31">
        <f t="shared" ref="C1136:D1136" si="184">SUM(C1132:C1135)</f>
        <v>0</v>
      </c>
      <c r="D1136" s="32">
        <f t="shared" si="184"/>
        <v>0</v>
      </c>
      <c r="E1136" s="40"/>
    </row>
    <row r="1137" ht="15.75" hidden="1" customHeight="1">
      <c r="A1137" s="62"/>
      <c r="B1137" s="135" t="s">
        <v>20</v>
      </c>
      <c r="C1137" s="39"/>
      <c r="D1137" s="32">
        <f>C1136-D1136</f>
        <v>0</v>
      </c>
      <c r="E1137" s="40"/>
    </row>
    <row r="1138" ht="15.75" customHeight="1">
      <c r="A1138" s="125">
        <v>162311.0</v>
      </c>
      <c r="B1138" s="132" t="s">
        <v>269</v>
      </c>
      <c r="C1138" s="35"/>
      <c r="D1138" s="36"/>
      <c r="E1138" s="86"/>
    </row>
    <row r="1139" ht="15.75" customHeight="1">
      <c r="A1139" s="219">
        <v>3011.0</v>
      </c>
      <c r="B1139" s="65" t="s">
        <v>22</v>
      </c>
      <c r="C1139" s="68">
        <v>0.0</v>
      </c>
      <c r="D1139" s="22"/>
      <c r="E1139" s="25">
        <f>E1135+1</f>
        <v>66</v>
      </c>
    </row>
    <row r="1140" ht="15.75" customHeight="1">
      <c r="A1140" s="219">
        <v>3110.0</v>
      </c>
      <c r="B1140" s="65" t="s">
        <v>111</v>
      </c>
      <c r="C1140" s="39">
        <v>0.0</v>
      </c>
      <c r="D1140" s="22"/>
      <c r="E1140" s="25">
        <f t="shared" ref="E1140:E1149" si="185">E1139+1</f>
        <v>67</v>
      </c>
    </row>
    <row r="1141" ht="15.75" customHeight="1">
      <c r="A1141" s="219">
        <v>4010.0</v>
      </c>
      <c r="B1141" s="65" t="s">
        <v>48</v>
      </c>
      <c r="C1141" s="39"/>
      <c r="D1141" s="22">
        <v>0.0</v>
      </c>
      <c r="E1141" s="25">
        <f t="shared" si="185"/>
        <v>68</v>
      </c>
    </row>
    <row r="1142" ht="15.75" customHeight="1">
      <c r="A1142" s="219">
        <v>4013.0</v>
      </c>
      <c r="B1142" s="65" t="s">
        <v>98</v>
      </c>
      <c r="C1142" s="39"/>
      <c r="D1142" s="22">
        <v>0.0</v>
      </c>
      <c r="E1142" s="25">
        <f t="shared" si="185"/>
        <v>69</v>
      </c>
    </row>
    <row r="1143" ht="15.75" customHeight="1">
      <c r="A1143" s="219">
        <v>4040.0</v>
      </c>
      <c r="B1143" s="65" t="s">
        <v>24</v>
      </c>
      <c r="C1143" s="39"/>
      <c r="D1143" s="22">
        <v>0.0</v>
      </c>
      <c r="E1143" s="25">
        <f t="shared" si="185"/>
        <v>70</v>
      </c>
    </row>
    <row r="1144" ht="15.75" customHeight="1">
      <c r="A1144" s="219">
        <v>4047.0</v>
      </c>
      <c r="B1144" s="65" t="s">
        <v>14</v>
      </c>
      <c r="C1144" s="39"/>
      <c r="D1144" s="29">
        <v>2650.0</v>
      </c>
      <c r="E1144" s="25">
        <f t="shared" si="185"/>
        <v>71</v>
      </c>
    </row>
    <row r="1145" ht="15.75" customHeight="1">
      <c r="A1145" s="219">
        <v>4060.0</v>
      </c>
      <c r="B1145" s="65" t="s">
        <v>27</v>
      </c>
      <c r="C1145" s="39"/>
      <c r="D1145" s="29">
        <v>1200.0</v>
      </c>
      <c r="E1145" s="25">
        <f t="shared" si="185"/>
        <v>72</v>
      </c>
    </row>
    <row r="1146" ht="15.75" customHeight="1">
      <c r="A1146" s="219">
        <v>4063.0</v>
      </c>
      <c r="B1146" s="65" t="s">
        <v>70</v>
      </c>
      <c r="C1146" s="39"/>
      <c r="D1146" s="29">
        <v>250.0</v>
      </c>
      <c r="E1146" s="25">
        <f t="shared" si="185"/>
        <v>73</v>
      </c>
    </row>
    <row r="1147" ht="15.75" customHeight="1">
      <c r="A1147" s="219">
        <v>4076.0</v>
      </c>
      <c r="B1147" s="65" t="s">
        <v>29</v>
      </c>
      <c r="C1147" s="39"/>
      <c r="D1147" s="29">
        <f>4250+1800</f>
        <v>6050</v>
      </c>
      <c r="E1147" s="25">
        <f t="shared" si="185"/>
        <v>74</v>
      </c>
    </row>
    <row r="1148" ht="15.75" customHeight="1">
      <c r="A1148" s="219">
        <v>4078.0</v>
      </c>
      <c r="B1148" s="65" t="s">
        <v>30</v>
      </c>
      <c r="C1148" s="39"/>
      <c r="D1148" s="22">
        <v>0.0</v>
      </c>
      <c r="E1148" s="25">
        <f t="shared" si="185"/>
        <v>75</v>
      </c>
    </row>
    <row r="1149" ht="15.75" customHeight="1">
      <c r="A1149" s="219">
        <v>4082.0</v>
      </c>
      <c r="B1149" s="65" t="s">
        <v>45</v>
      </c>
      <c r="C1149" s="39"/>
      <c r="D1149" s="22">
        <f>200+100*5</f>
        <v>700</v>
      </c>
      <c r="E1149" s="25">
        <f t="shared" si="185"/>
        <v>76</v>
      </c>
    </row>
    <row r="1150" ht="15.75" customHeight="1">
      <c r="A1150" s="219">
        <v>4190.0</v>
      </c>
      <c r="B1150" s="65" t="s">
        <v>32</v>
      </c>
      <c r="C1150" s="39"/>
      <c r="D1150" s="22">
        <f>400+300*5</f>
        <v>1900</v>
      </c>
      <c r="E1150" s="25">
        <f t="shared" ref="E1150:E1151" si="186">E1148+1</f>
        <v>76</v>
      </c>
    </row>
    <row r="1151" ht="15.75" customHeight="1">
      <c r="A1151" s="219">
        <v>6993.0</v>
      </c>
      <c r="B1151" s="65" t="s">
        <v>115</v>
      </c>
      <c r="C1151" s="39"/>
      <c r="D1151" s="22">
        <v>0.0</v>
      </c>
      <c r="E1151" s="25">
        <f t="shared" si="186"/>
        <v>77</v>
      </c>
    </row>
    <row r="1152" ht="15.75" customHeight="1">
      <c r="A1152" s="62"/>
      <c r="B1152" s="135" t="s">
        <v>19</v>
      </c>
      <c r="C1152" s="31">
        <f t="shared" ref="C1152:D1152" si="187">SUM(C1139:C1151)</f>
        <v>0</v>
      </c>
      <c r="D1152" s="32">
        <f t="shared" si="187"/>
        <v>12750</v>
      </c>
      <c r="E1152" s="40"/>
    </row>
    <row r="1153" ht="15.75" customHeight="1">
      <c r="A1153" s="62"/>
      <c r="B1153" s="135" t="s">
        <v>20</v>
      </c>
      <c r="C1153" s="39"/>
      <c r="D1153" s="32">
        <f>C1152-D1152</f>
        <v>-12750</v>
      </c>
      <c r="E1153" s="40"/>
    </row>
    <row r="1154" ht="15.75" customHeight="1">
      <c r="A1154" s="125">
        <v>162312.0</v>
      </c>
      <c r="B1154" s="132" t="s">
        <v>270</v>
      </c>
      <c r="C1154" s="35"/>
      <c r="D1154" s="36"/>
      <c r="E1154" s="86"/>
    </row>
    <row r="1155" ht="15.75" customHeight="1">
      <c r="A1155" s="222">
        <v>3011.0</v>
      </c>
      <c r="B1155" s="223" t="s">
        <v>22</v>
      </c>
      <c r="C1155" s="168">
        <v>0.0</v>
      </c>
      <c r="D1155" s="22"/>
      <c r="E1155" s="224">
        <f>E1151+1</f>
        <v>78</v>
      </c>
    </row>
    <row r="1156" ht="15.75" customHeight="1">
      <c r="A1156" s="225">
        <v>3030.0</v>
      </c>
      <c r="B1156" s="223" t="s">
        <v>117</v>
      </c>
      <c r="C1156" s="170">
        <f>50*40+50*35</f>
        <v>3750</v>
      </c>
      <c r="D1156" s="22"/>
      <c r="E1156" s="224">
        <f t="shared" ref="E1156:E1158" si="188">E1155+1</f>
        <v>79</v>
      </c>
    </row>
    <row r="1157" ht="15.75" customHeight="1">
      <c r="A1157" s="222">
        <v>3110.0</v>
      </c>
      <c r="B1157" s="223" t="s">
        <v>111</v>
      </c>
      <c r="C1157" s="168">
        <v>10000.0</v>
      </c>
      <c r="D1157" s="22"/>
      <c r="E1157" s="224">
        <f t="shared" si="188"/>
        <v>80</v>
      </c>
    </row>
    <row r="1158" ht="15.75" customHeight="1">
      <c r="A1158" s="225">
        <v>4012.0</v>
      </c>
      <c r="B1158" s="223" t="s">
        <v>60</v>
      </c>
      <c r="C1158" s="39"/>
      <c r="D1158" s="22">
        <f>C1156/1.9</f>
        <v>1973.684211</v>
      </c>
      <c r="E1158" s="224">
        <f t="shared" si="188"/>
        <v>81</v>
      </c>
    </row>
    <row r="1159" ht="15.75" customHeight="1">
      <c r="A1159" s="225">
        <v>4013.0</v>
      </c>
      <c r="B1159" s="223" t="s">
        <v>98</v>
      </c>
      <c r="C1159" s="39"/>
      <c r="D1159" s="22"/>
      <c r="E1159" s="224"/>
    </row>
    <row r="1160" ht="15.75" customHeight="1">
      <c r="A1160" s="225">
        <v>4040.0</v>
      </c>
      <c r="B1160" s="223" t="s">
        <v>24</v>
      </c>
      <c r="C1160" s="39"/>
      <c r="D1160" s="22">
        <f>100*5</f>
        <v>500</v>
      </c>
      <c r="E1160" s="224">
        <f>E1158+1</f>
        <v>82</v>
      </c>
    </row>
    <row r="1161" ht="15.75" customHeight="1">
      <c r="A1161" s="226">
        <v>4047.0</v>
      </c>
      <c r="B1161" s="227" t="s">
        <v>271</v>
      </c>
      <c r="C1161" s="39"/>
      <c r="D1161" s="22">
        <v>500.0</v>
      </c>
      <c r="E1161" s="224">
        <f t="shared" ref="E1161:E1167" si="189">E1160+1</f>
        <v>83</v>
      </c>
    </row>
    <row r="1162" ht="15.75" customHeight="1">
      <c r="A1162" s="225">
        <v>4060.0</v>
      </c>
      <c r="B1162" s="223" t="s">
        <v>27</v>
      </c>
      <c r="C1162" s="39"/>
      <c r="D1162" s="22">
        <f>200*7</f>
        <v>1400</v>
      </c>
      <c r="E1162" s="224">
        <f t="shared" si="189"/>
        <v>84</v>
      </c>
    </row>
    <row r="1163" ht="15.75" customHeight="1">
      <c r="A1163" s="226">
        <v>4063.0</v>
      </c>
      <c r="B1163" s="227" t="s">
        <v>272</v>
      </c>
      <c r="C1163" s="39"/>
      <c r="D1163" s="22">
        <v>0.0</v>
      </c>
      <c r="E1163" s="224">
        <f t="shared" si="189"/>
        <v>85</v>
      </c>
    </row>
    <row r="1164" ht="15.75" customHeight="1">
      <c r="A1164" s="226">
        <v>4076.0</v>
      </c>
      <c r="B1164" s="227" t="s">
        <v>273</v>
      </c>
      <c r="C1164" s="39"/>
      <c r="D1164" s="22">
        <f>110*50</f>
        <v>5500</v>
      </c>
      <c r="E1164" s="224">
        <f t="shared" si="189"/>
        <v>86</v>
      </c>
    </row>
    <row r="1165" ht="15.75" customHeight="1">
      <c r="A1165" s="225">
        <v>4082.0</v>
      </c>
      <c r="B1165" s="223" t="s">
        <v>45</v>
      </c>
      <c r="C1165" s="39"/>
      <c r="D1165" s="22">
        <f>200+100*6</f>
        <v>800</v>
      </c>
      <c r="E1165" s="25">
        <f t="shared" si="189"/>
        <v>87</v>
      </c>
    </row>
    <row r="1166" ht="15.75" customHeight="1">
      <c r="A1166" s="225">
        <v>4190.0</v>
      </c>
      <c r="B1166" s="223" t="s">
        <v>32</v>
      </c>
      <c r="C1166" s="39"/>
      <c r="D1166" s="22">
        <f>400+300*6</f>
        <v>2200</v>
      </c>
      <c r="E1166" s="25">
        <f t="shared" si="189"/>
        <v>88</v>
      </c>
    </row>
    <row r="1167" ht="15.75" customHeight="1">
      <c r="A1167" s="225">
        <v>6993.0</v>
      </c>
      <c r="B1167" s="223" t="s">
        <v>115</v>
      </c>
      <c r="C1167" s="39"/>
      <c r="D1167" s="29">
        <v>0.0</v>
      </c>
      <c r="E1167" s="224">
        <f t="shared" si="189"/>
        <v>89</v>
      </c>
    </row>
    <row r="1168" ht="15.75" customHeight="1">
      <c r="A1168" s="228"/>
      <c r="B1168" s="229" t="s">
        <v>19</v>
      </c>
      <c r="C1168" s="31">
        <f t="shared" ref="C1168:D1168" si="190">sum(C1155:C1167)</f>
        <v>13750</v>
      </c>
      <c r="D1168" s="32">
        <f t="shared" si="190"/>
        <v>12873.68421</v>
      </c>
      <c r="E1168" s="224"/>
    </row>
    <row r="1169" ht="15.75" customHeight="1">
      <c r="A1169" s="228"/>
      <c r="B1169" s="229" t="s">
        <v>20</v>
      </c>
      <c r="C1169" s="31"/>
      <c r="D1169" s="32">
        <f>C1168-D1168</f>
        <v>876.3157895</v>
      </c>
      <c r="E1169" s="224"/>
    </row>
    <row r="1170" ht="15.75" customHeight="1">
      <c r="A1170" s="230">
        <v>162313.0</v>
      </c>
      <c r="B1170" s="46" t="s">
        <v>274</v>
      </c>
      <c r="C1170" s="231"/>
      <c r="D1170" s="85"/>
      <c r="E1170" s="232"/>
    </row>
    <row r="1171" ht="15.75" customHeight="1">
      <c r="A1171" s="19">
        <v>4040.0</v>
      </c>
      <c r="B1171" s="20" t="s">
        <v>24</v>
      </c>
      <c r="C1171" s="199"/>
      <c r="D1171" s="157">
        <v>200.0</v>
      </c>
      <c r="E1171" s="197">
        <f>E1167+1</f>
        <v>90</v>
      </c>
    </row>
    <row r="1172" ht="15.75" customHeight="1">
      <c r="A1172" s="19">
        <v>4060.0</v>
      </c>
      <c r="B1172" s="20" t="s">
        <v>27</v>
      </c>
      <c r="C1172" s="199"/>
      <c r="D1172" s="157">
        <v>200.0</v>
      </c>
      <c r="E1172" s="197">
        <f t="shared" ref="E1172:E1175" si="191">E1171+1</f>
        <v>91</v>
      </c>
    </row>
    <row r="1173" ht="15.75" customHeight="1">
      <c r="A1173" s="19">
        <v>4076.0</v>
      </c>
      <c r="B1173" s="20" t="s">
        <v>29</v>
      </c>
      <c r="C1173" s="199"/>
      <c r="D1173" s="57">
        <f>75*20*2</f>
        <v>3000</v>
      </c>
      <c r="E1173" s="197">
        <f t="shared" si="191"/>
        <v>92</v>
      </c>
    </row>
    <row r="1174" ht="15.75" customHeight="1">
      <c r="A1174" s="19">
        <v>4082.0</v>
      </c>
      <c r="B1174" s="20" t="s">
        <v>275</v>
      </c>
      <c r="C1174" s="199"/>
      <c r="D1174" s="57">
        <v>100.0</v>
      </c>
      <c r="E1174" s="197">
        <f t="shared" si="191"/>
        <v>93</v>
      </c>
    </row>
    <row r="1175" ht="15.75" customHeight="1">
      <c r="A1175" s="19">
        <v>4190.0</v>
      </c>
      <c r="B1175" s="20" t="s">
        <v>32</v>
      </c>
      <c r="C1175" s="199"/>
      <c r="D1175" s="57">
        <f>100*2+200</f>
        <v>400</v>
      </c>
      <c r="E1175" s="197">
        <f t="shared" si="191"/>
        <v>94</v>
      </c>
    </row>
    <row r="1176" ht="15.75" customHeight="1">
      <c r="A1176" s="66"/>
      <c r="B1176" s="30" t="s">
        <v>19</v>
      </c>
      <c r="C1176" s="199">
        <f t="shared" ref="C1176:D1176" si="192">SUM(C1171:C1175)</f>
        <v>0</v>
      </c>
      <c r="D1176" s="200">
        <f t="shared" si="192"/>
        <v>3900</v>
      </c>
      <c r="E1176" s="197"/>
    </row>
    <row r="1177" ht="15.75" customHeight="1">
      <c r="A1177" s="66"/>
      <c r="B1177" s="30" t="s">
        <v>20</v>
      </c>
      <c r="C1177" s="199"/>
      <c r="D1177" s="200">
        <f>C1176-D1176</f>
        <v>-3900</v>
      </c>
      <c r="E1177" s="197"/>
    </row>
    <row r="1178" ht="15.75" customHeight="1">
      <c r="A1178" s="10"/>
      <c r="B1178" s="126" t="s">
        <v>276</v>
      </c>
      <c r="C1178" s="12">
        <f t="shared" ref="C1178:D1178" si="193">C1099+C1080+C1074+C1064+C1054+C1049+C1107+C1119+C1129+C1136+C1152+C1168+C1176</f>
        <v>13750</v>
      </c>
      <c r="D1178" s="13">
        <f t="shared" si="193"/>
        <v>362006.2556</v>
      </c>
      <c r="E1178" s="86"/>
    </row>
    <row r="1179" ht="15.75" customHeight="1">
      <c r="A1179" s="10"/>
      <c r="B1179" s="126" t="s">
        <v>277</v>
      </c>
      <c r="C1179" s="35"/>
      <c r="D1179" s="13">
        <f>C1178-D1178</f>
        <v>-348256.2556</v>
      </c>
      <c r="E1179" s="86"/>
    </row>
    <row r="1180" ht="15.75" customHeight="1">
      <c r="A1180" s="62"/>
      <c r="B1180" s="63"/>
      <c r="C1180" s="64"/>
      <c r="D1180" s="65"/>
      <c r="E1180" s="25"/>
    </row>
    <row r="1181" ht="15.75" customHeight="1">
      <c r="A1181" s="62"/>
      <c r="B1181" s="63"/>
      <c r="C1181" s="64"/>
      <c r="D1181" s="65"/>
      <c r="E1181" s="25"/>
    </row>
    <row r="1182" ht="15.75" customHeight="1">
      <c r="A1182" s="233">
        <v>17.0</v>
      </c>
      <c r="B1182" s="15" t="s">
        <v>278</v>
      </c>
      <c r="C1182" s="16" t="s">
        <v>6</v>
      </c>
      <c r="D1182" s="5"/>
      <c r="E1182" s="9"/>
    </row>
    <row r="1183" ht="15.75" customHeight="1">
      <c r="A1183" s="125">
        <v>172300.0</v>
      </c>
      <c r="B1183" s="208" t="s">
        <v>141</v>
      </c>
      <c r="C1183" s="12" t="s">
        <v>2</v>
      </c>
      <c r="D1183" s="13" t="s">
        <v>3</v>
      </c>
      <c r="E1183" s="14" t="s">
        <v>4</v>
      </c>
    </row>
    <row r="1184" ht="15.75" customHeight="1">
      <c r="A1184" s="62">
        <v>3110.0</v>
      </c>
      <c r="B1184" s="98" t="s">
        <v>111</v>
      </c>
      <c r="C1184" s="39">
        <v>80000.0</v>
      </c>
      <c r="D1184" s="22"/>
      <c r="E1184" s="25">
        <v>1.0</v>
      </c>
    </row>
    <row r="1185" ht="15.75" customHeight="1">
      <c r="A1185" s="62">
        <v>3012.0</v>
      </c>
      <c r="B1185" s="98" t="s">
        <v>23</v>
      </c>
      <c r="C1185" s="39">
        <v>1400.0</v>
      </c>
      <c r="D1185" s="22"/>
      <c r="E1185" s="25">
        <f t="shared" ref="E1185:E1206" si="194">E1184+1</f>
        <v>2</v>
      </c>
    </row>
    <row r="1186" ht="15.75" customHeight="1">
      <c r="A1186" s="62">
        <v>3025.0</v>
      </c>
      <c r="B1186" s="98" t="s">
        <v>279</v>
      </c>
      <c r="C1186" s="39">
        <v>0.0</v>
      </c>
      <c r="D1186" s="22"/>
      <c r="E1186" s="25">
        <f t="shared" si="194"/>
        <v>3</v>
      </c>
    </row>
    <row r="1187" ht="15.75" customHeight="1">
      <c r="A1187" s="101">
        <v>3011.0</v>
      </c>
      <c r="B1187" s="102" t="s">
        <v>22</v>
      </c>
      <c r="C1187" s="39">
        <v>0.0</v>
      </c>
      <c r="D1187" s="22"/>
      <c r="E1187" s="25">
        <f t="shared" si="194"/>
        <v>4</v>
      </c>
    </row>
    <row r="1188" ht="15.75" customHeight="1">
      <c r="A1188" s="101">
        <v>4010.0</v>
      </c>
      <c r="B1188" s="102" t="s">
        <v>48</v>
      </c>
      <c r="C1188" s="39"/>
      <c r="D1188" s="22">
        <v>0.0</v>
      </c>
      <c r="E1188" s="25">
        <f t="shared" si="194"/>
        <v>5</v>
      </c>
    </row>
    <row r="1189" ht="15.75" customHeight="1">
      <c r="A1189" s="62">
        <v>4042.0</v>
      </c>
      <c r="B1189" s="100" t="s">
        <v>67</v>
      </c>
      <c r="C1189" s="39"/>
      <c r="D1189" s="22">
        <v>1000.0</v>
      </c>
      <c r="E1189" s="25">
        <f t="shared" si="194"/>
        <v>6</v>
      </c>
    </row>
    <row r="1190" ht="15.75" customHeight="1">
      <c r="A1190" s="62">
        <v>4047.0</v>
      </c>
      <c r="B1190" s="98" t="s">
        <v>14</v>
      </c>
      <c r="C1190" s="39"/>
      <c r="D1190" s="22">
        <v>0.0</v>
      </c>
      <c r="E1190" s="25">
        <f t="shared" si="194"/>
        <v>7</v>
      </c>
    </row>
    <row r="1191" ht="15.75" customHeight="1">
      <c r="A1191" s="99">
        <v>4050.0</v>
      </c>
      <c r="B1191" s="100" t="s">
        <v>42</v>
      </c>
      <c r="C1191" s="39"/>
      <c r="D1191" s="22">
        <f>sumif($A$1184:$A$1545,"=4190",D1184:D1545)*0.3</f>
        <v>11130</v>
      </c>
      <c r="E1191" s="25">
        <f t="shared" si="194"/>
        <v>8</v>
      </c>
    </row>
    <row r="1192" ht="15.75" customHeight="1">
      <c r="A1192" s="62">
        <v>4060.0</v>
      </c>
      <c r="B1192" s="98" t="s">
        <v>27</v>
      </c>
      <c r="C1192" s="39"/>
      <c r="D1192" s="22">
        <f>7*550+7*80+2*200+50*9</f>
        <v>5260</v>
      </c>
      <c r="E1192" s="25">
        <f t="shared" si="194"/>
        <v>9</v>
      </c>
    </row>
    <row r="1193" ht="15.75" customHeight="1">
      <c r="A1193" s="62">
        <v>4061.0</v>
      </c>
      <c r="B1193" s="98" t="s">
        <v>23</v>
      </c>
      <c r="C1193" s="39"/>
      <c r="D1193" s="22">
        <f>7*2000</f>
        <v>14000</v>
      </c>
      <c r="E1193" s="25">
        <f t="shared" si="194"/>
        <v>10</v>
      </c>
    </row>
    <row r="1194" ht="15.75" customHeight="1">
      <c r="A1194" s="62">
        <v>4063.0</v>
      </c>
      <c r="B1194" s="98" t="s">
        <v>70</v>
      </c>
      <c r="C1194" s="39"/>
      <c r="D1194" s="22">
        <v>0.0</v>
      </c>
      <c r="E1194" s="25">
        <f t="shared" si="194"/>
        <v>11</v>
      </c>
    </row>
    <row r="1195" ht="15.75" customHeight="1">
      <c r="A1195" s="62">
        <v>4065.0</v>
      </c>
      <c r="B1195" s="98" t="s">
        <v>16</v>
      </c>
      <c r="C1195" s="39"/>
      <c r="D1195" s="22">
        <v>1000.0</v>
      </c>
      <c r="E1195" s="25">
        <f t="shared" si="194"/>
        <v>12</v>
      </c>
    </row>
    <row r="1196" ht="15.75" customHeight="1">
      <c r="A1196" s="62">
        <v>4080.0</v>
      </c>
      <c r="B1196" s="98" t="s">
        <v>31</v>
      </c>
      <c r="C1196" s="39"/>
      <c r="D1196" s="22">
        <v>4000.0</v>
      </c>
      <c r="E1196" s="25">
        <f t="shared" si="194"/>
        <v>13</v>
      </c>
    </row>
    <row r="1197" ht="15.75" customHeight="1">
      <c r="A1197" s="62">
        <v>4081.0</v>
      </c>
      <c r="B1197" s="103" t="s">
        <v>44</v>
      </c>
      <c r="C1197" s="39"/>
      <c r="D1197" s="22">
        <v>4000.0</v>
      </c>
      <c r="E1197" s="25">
        <f t="shared" si="194"/>
        <v>14</v>
      </c>
    </row>
    <row r="1198" ht="15.75" customHeight="1">
      <c r="A1198" s="62">
        <v>4082.0</v>
      </c>
      <c r="B1198" s="98" t="s">
        <v>45</v>
      </c>
      <c r="C1198" s="39"/>
      <c r="D1198" s="22">
        <f>400+6*300+2*100</f>
        <v>2400</v>
      </c>
      <c r="E1198" s="25">
        <f t="shared" si="194"/>
        <v>15</v>
      </c>
    </row>
    <row r="1199" ht="15.75" customHeight="1">
      <c r="A1199" s="62">
        <v>4190.0</v>
      </c>
      <c r="B1199" s="98" t="s">
        <v>32</v>
      </c>
      <c r="C1199" s="39"/>
      <c r="D1199" s="22">
        <f>1000+800*6+100*2+2*200</f>
        <v>6400</v>
      </c>
      <c r="E1199" s="25">
        <f t="shared" si="194"/>
        <v>16</v>
      </c>
    </row>
    <row r="1200" ht="15.75" customHeight="1">
      <c r="A1200" s="62">
        <v>5050.0</v>
      </c>
      <c r="B1200" s="98" t="s">
        <v>33</v>
      </c>
      <c r="C1200" s="39"/>
      <c r="D1200" s="22">
        <v>2500.0</v>
      </c>
      <c r="E1200" s="25">
        <f t="shared" si="194"/>
        <v>17</v>
      </c>
    </row>
    <row r="1201" ht="15.75" customHeight="1">
      <c r="A1201" s="62">
        <v>5460.0</v>
      </c>
      <c r="B1201" s="98" t="s">
        <v>50</v>
      </c>
      <c r="C1201" s="39"/>
      <c r="D1201" s="22">
        <v>0.0</v>
      </c>
      <c r="E1201" s="25">
        <f t="shared" si="194"/>
        <v>18</v>
      </c>
    </row>
    <row r="1202" ht="15.75" customHeight="1">
      <c r="A1202" s="62">
        <v>5810.0</v>
      </c>
      <c r="B1202" s="98" t="s">
        <v>34</v>
      </c>
      <c r="C1202" s="39"/>
      <c r="D1202" s="22">
        <v>2000.0</v>
      </c>
      <c r="E1202" s="25">
        <f t="shared" si="194"/>
        <v>19</v>
      </c>
    </row>
    <row r="1203" ht="15.75" customHeight="1">
      <c r="A1203" s="62">
        <v>6070.0</v>
      </c>
      <c r="B1203" s="98" t="s">
        <v>35</v>
      </c>
      <c r="C1203" s="39"/>
      <c r="D1203" s="29">
        <v>0.0</v>
      </c>
      <c r="E1203" s="25">
        <f t="shared" si="194"/>
        <v>20</v>
      </c>
    </row>
    <row r="1204" ht="15.75" customHeight="1">
      <c r="A1204" s="62">
        <v>6074.0</v>
      </c>
      <c r="B1204" s="98" t="s">
        <v>38</v>
      </c>
      <c r="C1204" s="39"/>
      <c r="D1204" s="29">
        <v>17500.0</v>
      </c>
      <c r="E1204" s="25">
        <f t="shared" si="194"/>
        <v>21</v>
      </c>
    </row>
    <row r="1205" ht="15.75" customHeight="1">
      <c r="A1205" s="62">
        <v>6074.0</v>
      </c>
      <c r="B1205" s="98" t="s">
        <v>38</v>
      </c>
      <c r="C1205" s="39"/>
      <c r="D1205" s="29">
        <v>80500.0</v>
      </c>
      <c r="E1205" s="25">
        <f t="shared" si="194"/>
        <v>22</v>
      </c>
    </row>
    <row r="1206" ht="15.75" customHeight="1">
      <c r="A1206" s="62">
        <v>6211.0</v>
      </c>
      <c r="B1206" s="98" t="s">
        <v>73</v>
      </c>
      <c r="C1206" s="39"/>
      <c r="D1206" s="22">
        <v>0.0</v>
      </c>
      <c r="E1206" s="25">
        <f t="shared" si="194"/>
        <v>23</v>
      </c>
    </row>
    <row r="1207" ht="15.75" customHeight="1">
      <c r="A1207" s="62"/>
      <c r="B1207" s="106" t="s">
        <v>19</v>
      </c>
      <c r="C1207" s="31">
        <f t="shared" ref="C1207:D1207" si="195">SUM(C1184:C1206)</f>
        <v>81400</v>
      </c>
      <c r="D1207" s="32">
        <f t="shared" si="195"/>
        <v>151690</v>
      </c>
      <c r="E1207" s="25"/>
    </row>
    <row r="1208" ht="15.75" customHeight="1">
      <c r="A1208" s="101"/>
      <c r="B1208" s="136" t="s">
        <v>20</v>
      </c>
      <c r="C1208" s="53"/>
      <c r="D1208" s="32">
        <f>C1207-D1207</f>
        <v>-70290</v>
      </c>
      <c r="E1208" s="40"/>
    </row>
    <row r="1209" ht="15.75" customHeight="1">
      <c r="A1209" s="234">
        <v>172301.0</v>
      </c>
      <c r="B1209" s="208" t="s">
        <v>280</v>
      </c>
      <c r="C1209" s="75"/>
      <c r="D1209" s="85"/>
      <c r="E1209" s="177"/>
    </row>
    <row r="1210" ht="15.75" customHeight="1">
      <c r="A1210" s="62">
        <v>3110.0</v>
      </c>
      <c r="B1210" s="98" t="s">
        <v>111</v>
      </c>
      <c r="C1210" s="68">
        <f>2150000+160000</f>
        <v>2310000</v>
      </c>
      <c r="D1210" s="22"/>
      <c r="E1210" s="25">
        <f>E1206+1</f>
        <v>24</v>
      </c>
    </row>
    <row r="1211" ht="15.75" customHeight="1">
      <c r="A1211" s="62">
        <v>3120.0</v>
      </c>
      <c r="B1211" s="98" t="s">
        <v>8</v>
      </c>
      <c r="C1211" s="68">
        <v>529000.0</v>
      </c>
      <c r="D1211" s="22"/>
      <c r="E1211" s="25">
        <f t="shared" ref="E1211:E1214" si="196">E1210+1</f>
        <v>25</v>
      </c>
    </row>
    <row r="1212" ht="15.75" customHeight="1">
      <c r="A1212" s="62">
        <v>4010.0</v>
      </c>
      <c r="B1212" s="98" t="s">
        <v>48</v>
      </c>
      <c r="C1212" s="39"/>
      <c r="D1212" s="22">
        <v>0.0</v>
      </c>
      <c r="E1212" s="25">
        <f t="shared" si="196"/>
        <v>26</v>
      </c>
    </row>
    <row r="1213" ht="15.75" customHeight="1">
      <c r="A1213" s="62">
        <v>4040.0</v>
      </c>
      <c r="B1213" s="98" t="s">
        <v>24</v>
      </c>
      <c r="C1213" s="39"/>
      <c r="D1213" s="22">
        <v>0.0</v>
      </c>
      <c r="E1213" s="25">
        <f t="shared" si="196"/>
        <v>27</v>
      </c>
    </row>
    <row r="1214" ht="15.75" customHeight="1">
      <c r="A1214" s="62">
        <v>4060.0</v>
      </c>
      <c r="B1214" s="98" t="s">
        <v>27</v>
      </c>
      <c r="C1214" s="39"/>
      <c r="D1214" s="22">
        <f>8*200+50*8</f>
        <v>2000</v>
      </c>
      <c r="E1214" s="25">
        <f t="shared" si="196"/>
        <v>28</v>
      </c>
    </row>
    <row r="1215" ht="15.75" customHeight="1">
      <c r="A1215" s="62">
        <v>4063.0</v>
      </c>
      <c r="B1215" s="98" t="s">
        <v>70</v>
      </c>
      <c r="C1215" s="39"/>
      <c r="D1215" s="22">
        <f>800</f>
        <v>800</v>
      </c>
      <c r="E1215" s="25">
        <f>E1213+1</f>
        <v>28</v>
      </c>
    </row>
    <row r="1216" ht="15.75" customHeight="1">
      <c r="A1216" s="62">
        <v>4082.0</v>
      </c>
      <c r="B1216" s="98" t="s">
        <v>45</v>
      </c>
      <c r="C1216" s="39"/>
      <c r="D1216" s="22">
        <f>8*100</f>
        <v>800</v>
      </c>
      <c r="E1216" s="25">
        <f t="shared" ref="E1216:E1220" si="197">E1215+1</f>
        <v>29</v>
      </c>
    </row>
    <row r="1217" ht="15.75" customHeight="1">
      <c r="A1217" s="62">
        <v>4190.0</v>
      </c>
      <c r="B1217" s="98" t="s">
        <v>32</v>
      </c>
      <c r="C1217" s="39"/>
      <c r="D1217" s="22">
        <f>1*300+7*200</f>
        <v>1700</v>
      </c>
      <c r="E1217" s="25">
        <f t="shared" si="197"/>
        <v>30</v>
      </c>
    </row>
    <row r="1218" ht="15.75" customHeight="1">
      <c r="A1218" s="108">
        <v>5420.0</v>
      </c>
      <c r="B1218" s="127" t="s">
        <v>72</v>
      </c>
      <c r="C1218" s="39"/>
      <c r="D1218" s="22">
        <f>25000+780*12+1300*12</f>
        <v>49960</v>
      </c>
      <c r="E1218" s="25">
        <f t="shared" si="197"/>
        <v>31</v>
      </c>
    </row>
    <row r="1219" ht="15.75" customHeight="1">
      <c r="A1219" s="62">
        <v>3076.0</v>
      </c>
      <c r="B1219" s="98" t="s">
        <v>281</v>
      </c>
      <c r="C1219" s="68">
        <v>120000.0</v>
      </c>
      <c r="D1219" s="22"/>
      <c r="E1219" s="25">
        <f t="shared" si="197"/>
        <v>32</v>
      </c>
    </row>
    <row r="1220" ht="15.75" customHeight="1">
      <c r="A1220" s="62">
        <v>4076.0</v>
      </c>
      <c r="B1220" s="98" t="s">
        <v>29</v>
      </c>
      <c r="C1220" s="39"/>
      <c r="D1220" s="29">
        <v>110000.0</v>
      </c>
      <c r="E1220" s="25">
        <f t="shared" si="197"/>
        <v>33</v>
      </c>
    </row>
    <row r="1221" ht="15.75" customHeight="1">
      <c r="A1221" s="62"/>
      <c r="B1221" s="106" t="s">
        <v>19</v>
      </c>
      <c r="C1221" s="31">
        <f t="shared" ref="C1221:D1221" si="198">SUM(C1210:C1220)</f>
        <v>2959000</v>
      </c>
      <c r="D1221" s="32">
        <f t="shared" si="198"/>
        <v>165260</v>
      </c>
      <c r="E1221" s="25"/>
    </row>
    <row r="1222" ht="15.75" customHeight="1">
      <c r="A1222" s="101"/>
      <c r="B1222" s="136" t="s">
        <v>20</v>
      </c>
      <c r="C1222" s="53"/>
      <c r="D1222" s="32">
        <f>C1221-D1221</f>
        <v>2793740</v>
      </c>
      <c r="E1222" s="40"/>
    </row>
    <row r="1223" ht="15.75" customHeight="1">
      <c r="A1223" s="234">
        <v>172302.0</v>
      </c>
      <c r="B1223" s="208" t="s">
        <v>282</v>
      </c>
      <c r="C1223" s="75"/>
      <c r="D1223" s="85"/>
      <c r="E1223" s="177"/>
    </row>
    <row r="1224" ht="15.75" hidden="1" customHeight="1">
      <c r="A1224" s="62">
        <v>4063.0</v>
      </c>
      <c r="B1224" s="98" t="s">
        <v>70</v>
      </c>
      <c r="C1224" s="39"/>
      <c r="D1224" s="22">
        <v>0.0</v>
      </c>
      <c r="E1224" s="25"/>
    </row>
    <row r="1225" ht="15.75" hidden="1" customHeight="1">
      <c r="A1225" s="62">
        <v>4076.0</v>
      </c>
      <c r="B1225" s="98" t="s">
        <v>29</v>
      </c>
      <c r="C1225" s="39"/>
      <c r="D1225" s="22">
        <v>0.0</v>
      </c>
      <c r="E1225" s="40"/>
    </row>
    <row r="1226" ht="15.75" hidden="1" customHeight="1">
      <c r="A1226" s="62"/>
      <c r="B1226" s="106" t="s">
        <v>19</v>
      </c>
      <c r="C1226" s="31">
        <f t="shared" ref="C1226:D1226" si="199">SUM(C1224:C1225)</f>
        <v>0</v>
      </c>
      <c r="D1226" s="32">
        <f t="shared" si="199"/>
        <v>0</v>
      </c>
      <c r="E1226" s="25"/>
    </row>
    <row r="1227" ht="15.75" hidden="1" customHeight="1">
      <c r="A1227" s="101"/>
      <c r="B1227" s="136" t="s">
        <v>20</v>
      </c>
      <c r="C1227" s="53"/>
      <c r="D1227" s="32">
        <f>C1226-D1226</f>
        <v>0</v>
      </c>
      <c r="E1227" s="40"/>
    </row>
    <row r="1228" ht="15.75" customHeight="1">
      <c r="A1228" s="234">
        <v>172303.0</v>
      </c>
      <c r="B1228" s="208" t="s">
        <v>283</v>
      </c>
      <c r="C1228" s="75"/>
      <c r="D1228" s="85"/>
      <c r="E1228" s="177"/>
    </row>
    <row r="1229" ht="15.75" hidden="1" customHeight="1">
      <c r="A1229" s="62">
        <v>3110.0</v>
      </c>
      <c r="B1229" s="98" t="s">
        <v>111</v>
      </c>
      <c r="C1229" s="39">
        <v>0.0</v>
      </c>
      <c r="D1229" s="22"/>
      <c r="E1229" s="25"/>
    </row>
    <row r="1230" ht="15.75" hidden="1" customHeight="1">
      <c r="A1230" s="62">
        <v>4040.0</v>
      </c>
      <c r="B1230" s="98" t="s">
        <v>24</v>
      </c>
      <c r="C1230" s="39"/>
      <c r="D1230" s="22">
        <v>0.0</v>
      </c>
      <c r="E1230" s="25"/>
    </row>
    <row r="1231" ht="15.75" hidden="1" customHeight="1">
      <c r="A1231" s="62">
        <v>4069.0</v>
      </c>
      <c r="B1231" s="98" t="s">
        <v>181</v>
      </c>
      <c r="C1231" s="39"/>
      <c r="D1231" s="22">
        <v>0.0</v>
      </c>
      <c r="E1231" s="25"/>
    </row>
    <row r="1232" ht="15.75" hidden="1" customHeight="1">
      <c r="A1232" s="62">
        <v>4076.0</v>
      </c>
      <c r="B1232" s="98" t="s">
        <v>29</v>
      </c>
      <c r="C1232" s="39"/>
      <c r="D1232" s="22">
        <v>0.0</v>
      </c>
      <c r="E1232" s="25"/>
    </row>
    <row r="1233" ht="15.75" hidden="1" customHeight="1">
      <c r="A1233" s="62"/>
      <c r="B1233" s="106" t="s">
        <v>19</v>
      </c>
      <c r="C1233" s="31">
        <f t="shared" ref="C1233:D1233" si="200">SUM(C1229:C1232)</f>
        <v>0</v>
      </c>
      <c r="D1233" s="32">
        <f t="shared" si="200"/>
        <v>0</v>
      </c>
      <c r="E1233" s="25"/>
    </row>
    <row r="1234" ht="15.75" hidden="1" customHeight="1">
      <c r="A1234" s="101"/>
      <c r="B1234" s="136" t="s">
        <v>20</v>
      </c>
      <c r="C1234" s="53"/>
      <c r="D1234" s="32">
        <f>C1233-D1233</f>
        <v>0</v>
      </c>
      <c r="E1234" s="40"/>
    </row>
    <row r="1235" ht="15.75" customHeight="1">
      <c r="A1235" s="234">
        <v>172304.0</v>
      </c>
      <c r="B1235" s="208" t="s">
        <v>284</v>
      </c>
      <c r="C1235" s="75"/>
      <c r="D1235" s="85"/>
      <c r="E1235" s="177"/>
    </row>
    <row r="1236" ht="15.75" hidden="1" customHeight="1">
      <c r="A1236" s="62">
        <v>3064.0</v>
      </c>
      <c r="B1236" s="98" t="s">
        <v>229</v>
      </c>
      <c r="C1236" s="68">
        <v>0.0</v>
      </c>
      <c r="D1236" s="22"/>
      <c r="E1236" s="25">
        <f>E1220+1</f>
        <v>34</v>
      </c>
    </row>
    <row r="1237" ht="15.75" hidden="1" customHeight="1">
      <c r="A1237" s="62">
        <v>4060.0</v>
      </c>
      <c r="B1237" s="98" t="s">
        <v>27</v>
      </c>
      <c r="C1237" s="39"/>
      <c r="D1237" s="22">
        <v>0.0</v>
      </c>
      <c r="E1237" s="25">
        <f t="shared" ref="E1237:E1241" si="201">E1236+1</f>
        <v>35</v>
      </c>
    </row>
    <row r="1238" ht="15.75" hidden="1" customHeight="1">
      <c r="A1238" s="62">
        <v>4063.0</v>
      </c>
      <c r="B1238" s="98" t="s">
        <v>70</v>
      </c>
      <c r="C1238" s="39"/>
      <c r="D1238" s="22">
        <v>0.0</v>
      </c>
      <c r="E1238" s="25">
        <f t="shared" si="201"/>
        <v>36</v>
      </c>
    </row>
    <row r="1239" ht="15.75" hidden="1" customHeight="1">
      <c r="A1239" s="62">
        <v>4082.0</v>
      </c>
      <c r="B1239" s="98" t="s">
        <v>45</v>
      </c>
      <c r="C1239" s="39"/>
      <c r="D1239" s="22">
        <v>0.0</v>
      </c>
      <c r="E1239" s="25">
        <f t="shared" si="201"/>
        <v>37</v>
      </c>
    </row>
    <row r="1240" ht="15.75" hidden="1" customHeight="1">
      <c r="A1240" s="62">
        <v>4190.0</v>
      </c>
      <c r="B1240" s="98" t="s">
        <v>32</v>
      </c>
      <c r="C1240" s="39"/>
      <c r="D1240" s="22">
        <v>0.0</v>
      </c>
      <c r="E1240" s="25">
        <f t="shared" si="201"/>
        <v>38</v>
      </c>
    </row>
    <row r="1241" ht="15.75" hidden="1" customHeight="1">
      <c r="A1241" s="62">
        <v>6250.0</v>
      </c>
      <c r="B1241" s="98" t="s">
        <v>74</v>
      </c>
      <c r="C1241" s="39"/>
      <c r="D1241" s="22">
        <v>0.0</v>
      </c>
      <c r="E1241" s="25">
        <f t="shared" si="201"/>
        <v>39</v>
      </c>
    </row>
    <row r="1242" ht="15.75" hidden="1" customHeight="1">
      <c r="A1242" s="62"/>
      <c r="B1242" s="106" t="s">
        <v>19</v>
      </c>
      <c r="C1242" s="31">
        <f t="shared" ref="C1242:D1242" si="202">SUM(C1236:C1241)</f>
        <v>0</v>
      </c>
      <c r="D1242" s="32">
        <f t="shared" si="202"/>
        <v>0</v>
      </c>
      <c r="E1242" s="25"/>
    </row>
    <row r="1243" ht="15.75" hidden="1" customHeight="1">
      <c r="A1243" s="101"/>
      <c r="B1243" s="136" t="s">
        <v>20</v>
      </c>
      <c r="C1243" s="53"/>
      <c r="D1243" s="32">
        <f>C1242-D1242</f>
        <v>0</v>
      </c>
      <c r="E1243" s="40"/>
    </row>
    <row r="1244" ht="15.75" customHeight="1">
      <c r="A1244" s="234">
        <v>172305.0</v>
      </c>
      <c r="B1244" s="208" t="s">
        <v>285</v>
      </c>
      <c r="C1244" s="75"/>
      <c r="D1244" s="85"/>
      <c r="E1244" s="177"/>
    </row>
    <row r="1245" ht="15.75" customHeight="1">
      <c r="A1245" s="62">
        <v>3110.0</v>
      </c>
      <c r="B1245" s="98" t="s">
        <v>111</v>
      </c>
      <c r="C1245" s="39">
        <f>(5*24000)</f>
        <v>120000</v>
      </c>
      <c r="D1245" s="22"/>
      <c r="E1245" s="25">
        <f>E1241+1</f>
        <v>40</v>
      </c>
    </row>
    <row r="1246" ht="15.75" customHeight="1">
      <c r="A1246" s="62">
        <v>3011.0</v>
      </c>
      <c r="B1246" s="98" t="s">
        <v>22</v>
      </c>
      <c r="C1246" s="39">
        <f>22*3000</f>
        <v>66000</v>
      </c>
      <c r="D1246" s="22"/>
      <c r="E1246" s="25">
        <f t="shared" ref="E1246:E1247" si="203">E1245+1</f>
        <v>41</v>
      </c>
    </row>
    <row r="1247" ht="15.75" customHeight="1">
      <c r="A1247" s="62">
        <v>4060.0</v>
      </c>
      <c r="B1247" s="98" t="s">
        <v>27</v>
      </c>
      <c r="C1247" s="39"/>
      <c r="D1247" s="22">
        <f>2*200+50*2</f>
        <v>500</v>
      </c>
      <c r="E1247" s="25">
        <f t="shared" si="203"/>
        <v>42</v>
      </c>
    </row>
    <row r="1248" ht="15.75" hidden="1" customHeight="1">
      <c r="A1248" s="108">
        <v>4076.0</v>
      </c>
      <c r="B1248" s="127" t="s">
        <v>29</v>
      </c>
      <c r="C1248" s="39"/>
      <c r="D1248" s="22">
        <v>0.0</v>
      </c>
      <c r="E1248" s="25"/>
    </row>
    <row r="1249" ht="15.75" customHeight="1">
      <c r="A1249" s="62">
        <v>4082.0</v>
      </c>
      <c r="B1249" s="98" t="s">
        <v>45</v>
      </c>
      <c r="C1249" s="39"/>
      <c r="D1249" s="22">
        <f>2*200</f>
        <v>400</v>
      </c>
      <c r="E1249" s="25">
        <f>E1247+1</f>
        <v>43</v>
      </c>
    </row>
    <row r="1250" ht="15.75" customHeight="1">
      <c r="A1250" s="62">
        <v>4190.0</v>
      </c>
      <c r="B1250" s="98" t="s">
        <v>32</v>
      </c>
      <c r="C1250" s="39"/>
      <c r="D1250" s="22">
        <f>2*500</f>
        <v>1000</v>
      </c>
      <c r="E1250" s="25">
        <f>E1249+1</f>
        <v>44</v>
      </c>
    </row>
    <row r="1251" ht="15.75" hidden="1" customHeight="1">
      <c r="A1251" s="108">
        <v>5010.0</v>
      </c>
      <c r="B1251" s="127" t="s">
        <v>286</v>
      </c>
      <c r="C1251" s="39"/>
      <c r="D1251" s="22">
        <v>0.0</v>
      </c>
      <c r="E1251" s="25"/>
    </row>
    <row r="1252" ht="15.75" customHeight="1">
      <c r="A1252" s="62">
        <v>5810.0</v>
      </c>
      <c r="B1252" s="98" t="s">
        <v>34</v>
      </c>
      <c r="C1252" s="39"/>
      <c r="D1252" s="22">
        <f>6300*26</f>
        <v>163800</v>
      </c>
      <c r="E1252" s="25">
        <f>E1250+1</f>
        <v>45</v>
      </c>
    </row>
    <row r="1253" ht="15.75" customHeight="1">
      <c r="A1253" s="62"/>
      <c r="B1253" s="106" t="s">
        <v>19</v>
      </c>
      <c r="C1253" s="31">
        <f t="shared" ref="C1253:D1253" si="204">SUM(C1245:C1252)</f>
        <v>186000</v>
      </c>
      <c r="D1253" s="32">
        <f t="shared" si="204"/>
        <v>165700</v>
      </c>
      <c r="E1253" s="25"/>
    </row>
    <row r="1254" ht="15.75" customHeight="1">
      <c r="A1254" s="101"/>
      <c r="B1254" s="136" t="s">
        <v>20</v>
      </c>
      <c r="C1254" s="53"/>
      <c r="D1254" s="32">
        <f>C1253-D1253</f>
        <v>20300</v>
      </c>
      <c r="E1254" s="40"/>
    </row>
    <row r="1255" ht="15.75" customHeight="1">
      <c r="A1255" s="235"/>
      <c r="B1255" s="236" t="s">
        <v>287</v>
      </c>
      <c r="C1255" s="237"/>
      <c r="D1255" s="238"/>
      <c r="E1255" s="239"/>
    </row>
    <row r="1256" ht="15.75" customHeight="1">
      <c r="A1256" s="234">
        <v>172330.0</v>
      </c>
      <c r="B1256" s="208" t="s">
        <v>288</v>
      </c>
      <c r="C1256" s="75"/>
      <c r="D1256" s="85"/>
      <c r="E1256" s="177"/>
    </row>
    <row r="1257" ht="15.75" customHeight="1">
      <c r="A1257" s="62">
        <v>3110.0</v>
      </c>
      <c r="B1257" s="98" t="s">
        <v>111</v>
      </c>
      <c r="C1257" s="170">
        <f>1* 92000*0.8+6*47000+20*34000</f>
        <v>1035600</v>
      </c>
      <c r="D1257" s="22"/>
      <c r="E1257" s="25">
        <v>1.0</v>
      </c>
    </row>
    <row r="1258" ht="15.75" customHeight="1">
      <c r="A1258" s="62">
        <v>3011.0</v>
      </c>
      <c r="B1258" s="98" t="s">
        <v>22</v>
      </c>
      <c r="C1258" s="168">
        <v>0.0</v>
      </c>
      <c r="D1258" s="22"/>
      <c r="E1258" s="25">
        <f t="shared" ref="E1258:E1274" si="205">E1257+1</f>
        <v>2</v>
      </c>
    </row>
    <row r="1259" ht="15.75" customHeight="1">
      <c r="A1259" s="108">
        <v>3060.0</v>
      </c>
      <c r="B1259" s="127" t="s">
        <v>23</v>
      </c>
      <c r="C1259" s="170">
        <f>14*125</f>
        <v>1750</v>
      </c>
      <c r="D1259" s="22"/>
      <c r="E1259" s="25">
        <f t="shared" si="205"/>
        <v>3</v>
      </c>
    </row>
    <row r="1260" ht="15.75" customHeight="1">
      <c r="A1260" s="62">
        <v>4010.0</v>
      </c>
      <c r="B1260" s="98" t="s">
        <v>48</v>
      </c>
      <c r="C1260" s="170"/>
      <c r="D1260" s="22">
        <v>2000.0</v>
      </c>
      <c r="E1260" s="25">
        <f t="shared" si="205"/>
        <v>4</v>
      </c>
    </row>
    <row r="1261" ht="15.75" customHeight="1">
      <c r="A1261" s="62">
        <v>4013.0</v>
      </c>
      <c r="B1261" s="98" t="s">
        <v>98</v>
      </c>
      <c r="C1261" s="170"/>
      <c r="D1261" s="22">
        <f>(23+40)*140</f>
        <v>8820</v>
      </c>
      <c r="E1261" s="25">
        <f t="shared" si="205"/>
        <v>5</v>
      </c>
    </row>
    <row r="1262" ht="15.75" customHeight="1">
      <c r="A1262" s="62">
        <v>4040.0</v>
      </c>
      <c r="B1262" s="98" t="s">
        <v>24</v>
      </c>
      <c r="C1262" s="170"/>
      <c r="D1262" s="22">
        <f>100*3</f>
        <v>300</v>
      </c>
      <c r="E1262" s="25">
        <f t="shared" si="205"/>
        <v>6</v>
      </c>
    </row>
    <row r="1263" ht="15.75" customHeight="1">
      <c r="A1263" s="108">
        <v>4047.0</v>
      </c>
      <c r="B1263" s="127" t="s">
        <v>289</v>
      </c>
      <c r="C1263" s="170"/>
      <c r="D1263" s="29">
        <v>10000.0</v>
      </c>
      <c r="E1263" s="25">
        <f t="shared" si="205"/>
        <v>7</v>
      </c>
    </row>
    <row r="1264" ht="15.75" customHeight="1">
      <c r="A1264" s="62">
        <v>4060.0</v>
      </c>
      <c r="B1264" s="98" t="s">
        <v>27</v>
      </c>
      <c r="C1264" s="170"/>
      <c r="D1264" s="22">
        <f>550*8+80*2+50*23+15*200</f>
        <v>8710</v>
      </c>
      <c r="E1264" s="25">
        <f t="shared" si="205"/>
        <v>8</v>
      </c>
    </row>
    <row r="1265" ht="15.75" customHeight="1">
      <c r="A1265" s="108">
        <v>4061.0</v>
      </c>
      <c r="B1265" s="127" t="s">
        <v>23</v>
      </c>
      <c r="C1265" s="170"/>
      <c r="D1265" s="22">
        <f>8*1100</f>
        <v>8800</v>
      </c>
      <c r="E1265" s="25">
        <f t="shared" si="205"/>
        <v>9</v>
      </c>
    </row>
    <row r="1266" ht="15.75" customHeight="1">
      <c r="A1266" s="62">
        <v>4063.0</v>
      </c>
      <c r="B1266" s="98" t="s">
        <v>70</v>
      </c>
      <c r="C1266" s="170"/>
      <c r="D1266" s="22">
        <v>500.0</v>
      </c>
      <c r="E1266" s="25">
        <f t="shared" si="205"/>
        <v>10</v>
      </c>
    </row>
    <row r="1267" ht="15.75" customHeight="1">
      <c r="A1267" s="62">
        <v>4076.0</v>
      </c>
      <c r="B1267" s="98" t="s">
        <v>29</v>
      </c>
      <c r="C1267" s="170"/>
      <c r="D1267" s="22">
        <f>4*150+6*4*150+20*3*150+8*2*150+4000+3*40*75</f>
        <v>28600</v>
      </c>
      <c r="E1267" s="25">
        <f t="shared" si="205"/>
        <v>11</v>
      </c>
    </row>
    <row r="1268" ht="15.75" customHeight="1">
      <c r="A1268" s="62">
        <v>4078.0</v>
      </c>
      <c r="B1268" s="98" t="s">
        <v>30</v>
      </c>
      <c r="C1268" s="170"/>
      <c r="D1268" s="22">
        <v>10000.0</v>
      </c>
      <c r="E1268" s="25">
        <f t="shared" si="205"/>
        <v>12</v>
      </c>
    </row>
    <row r="1269" ht="15.75" customHeight="1">
      <c r="A1269" s="62">
        <v>4082.0</v>
      </c>
      <c r="B1269" s="98" t="s">
        <v>45</v>
      </c>
      <c r="C1269" s="170"/>
      <c r="D1269" s="22">
        <f>1*300+22*200</f>
        <v>4700</v>
      </c>
      <c r="E1269" s="25">
        <f t="shared" si="205"/>
        <v>13</v>
      </c>
    </row>
    <row r="1270" ht="15.75" customHeight="1">
      <c r="A1270" s="62">
        <v>4190.0</v>
      </c>
      <c r="B1270" s="98" t="s">
        <v>32</v>
      </c>
      <c r="C1270" s="170"/>
      <c r="D1270" s="22">
        <f>2*600+22*500</f>
        <v>12200</v>
      </c>
      <c r="E1270" s="25">
        <f t="shared" si="205"/>
        <v>14</v>
      </c>
    </row>
    <row r="1271" ht="15.75" customHeight="1">
      <c r="A1271" s="62">
        <v>5461.0</v>
      </c>
      <c r="B1271" s="98" t="s">
        <v>84</v>
      </c>
      <c r="C1271" s="170"/>
      <c r="D1271" s="22">
        <v>25000.0</v>
      </c>
      <c r="E1271" s="25">
        <f t="shared" si="205"/>
        <v>15</v>
      </c>
    </row>
    <row r="1272" ht="15.75" customHeight="1">
      <c r="A1272" s="62">
        <v>5061.0</v>
      </c>
      <c r="B1272" s="98" t="s">
        <v>82</v>
      </c>
      <c r="C1272" s="156"/>
      <c r="D1272" s="22">
        <v>0.0</v>
      </c>
      <c r="E1272" s="25">
        <f t="shared" si="205"/>
        <v>16</v>
      </c>
    </row>
    <row r="1273" ht="15.75" customHeight="1">
      <c r="A1273" s="62">
        <v>5710.0</v>
      </c>
      <c r="B1273" s="98" t="s">
        <v>143</v>
      </c>
      <c r="C1273" s="156"/>
      <c r="D1273" s="22">
        <v>0.0</v>
      </c>
      <c r="E1273" s="25">
        <f t="shared" si="205"/>
        <v>17</v>
      </c>
    </row>
    <row r="1274" ht="15.75" customHeight="1">
      <c r="A1274" s="62">
        <v>6071.0</v>
      </c>
      <c r="B1274" s="98" t="s">
        <v>36</v>
      </c>
      <c r="C1274" s="156"/>
      <c r="D1274" s="22">
        <v>0.0</v>
      </c>
      <c r="E1274" s="25">
        <f t="shared" si="205"/>
        <v>18</v>
      </c>
    </row>
    <row r="1275" ht="15.75" customHeight="1">
      <c r="A1275" s="108">
        <v>5420.0</v>
      </c>
      <c r="B1275" s="104" t="s">
        <v>72</v>
      </c>
      <c r="C1275" s="156"/>
      <c r="D1275" s="22">
        <v>0.0</v>
      </c>
      <c r="E1275" s="25">
        <v>15.0</v>
      </c>
    </row>
    <row r="1276" ht="15.75" customHeight="1">
      <c r="A1276" s="62"/>
      <c r="B1276" s="106" t="s">
        <v>19</v>
      </c>
      <c r="C1276" s="31">
        <f>SUM(C1257:C1273)</f>
        <v>1037350</v>
      </c>
      <c r="D1276" s="32">
        <f>SUM(D1257:D1275)</f>
        <v>119630</v>
      </c>
      <c r="E1276" s="25"/>
    </row>
    <row r="1277" ht="15.75" customHeight="1">
      <c r="A1277" s="101"/>
      <c r="B1277" s="136" t="s">
        <v>20</v>
      </c>
      <c r="C1277" s="39"/>
      <c r="D1277" s="32">
        <f>C1276-D1276</f>
        <v>917720</v>
      </c>
      <c r="E1277" s="40"/>
    </row>
    <row r="1278" ht="15.75" customHeight="1">
      <c r="A1278" s="234">
        <v>172331.0</v>
      </c>
      <c r="B1278" s="208" t="s">
        <v>290</v>
      </c>
      <c r="C1278" s="75"/>
      <c r="D1278" s="85"/>
      <c r="E1278" s="177"/>
    </row>
    <row r="1279" ht="15.75" customHeight="1">
      <c r="A1279" s="101">
        <v>3011.0</v>
      </c>
      <c r="B1279" s="98" t="s">
        <v>22</v>
      </c>
      <c r="C1279" s="170">
        <f>90*450</f>
        <v>40500</v>
      </c>
      <c r="D1279" s="22"/>
      <c r="E1279" s="72">
        <f>E1273+1</f>
        <v>18</v>
      </c>
    </row>
    <row r="1280" ht="15.75" customHeight="1">
      <c r="A1280" s="101">
        <v>3014.0</v>
      </c>
      <c r="B1280" s="240" t="s">
        <v>55</v>
      </c>
      <c r="C1280" s="170">
        <f>(40+23+7)*450</f>
        <v>31500</v>
      </c>
      <c r="D1280" s="22"/>
      <c r="E1280" s="72">
        <f t="shared" ref="E1280:E1284" si="206">E1279+1</f>
        <v>19</v>
      </c>
    </row>
    <row r="1281" ht="15.75" customHeight="1">
      <c r="A1281" s="101">
        <v>4076.0</v>
      </c>
      <c r="B1281" s="102" t="s">
        <v>29</v>
      </c>
      <c r="C1281" s="170"/>
      <c r="D1281" s="22">
        <f>(320*1000)</f>
        <v>320000</v>
      </c>
      <c r="E1281" s="72">
        <f t="shared" si="206"/>
        <v>20</v>
      </c>
    </row>
    <row r="1282" ht="15.75" customHeight="1">
      <c r="A1282" s="101">
        <v>4078.0</v>
      </c>
      <c r="B1282" s="102" t="s">
        <v>30</v>
      </c>
      <c r="C1282" s="170"/>
      <c r="D1282" s="22">
        <v>2000.0</v>
      </c>
      <c r="E1282" s="72">
        <f t="shared" si="206"/>
        <v>21</v>
      </c>
    </row>
    <row r="1283" ht="15.75" customHeight="1">
      <c r="A1283" s="101">
        <v>6071.0</v>
      </c>
      <c r="B1283" s="102" t="s">
        <v>36</v>
      </c>
      <c r="C1283" s="170"/>
      <c r="D1283" s="22">
        <f>C1280</f>
        <v>31500</v>
      </c>
      <c r="E1283" s="72">
        <f t="shared" si="206"/>
        <v>22</v>
      </c>
    </row>
    <row r="1284" ht="15.75" customHeight="1">
      <c r="A1284" s="154">
        <v>6993.0</v>
      </c>
      <c r="B1284" s="65" t="s">
        <v>115</v>
      </c>
      <c r="C1284" s="170"/>
      <c r="D1284" s="22">
        <f>30*10*1.25</f>
        <v>375</v>
      </c>
      <c r="E1284" s="72">
        <f t="shared" si="206"/>
        <v>23</v>
      </c>
    </row>
    <row r="1285" ht="15.75" customHeight="1">
      <c r="A1285" s="101"/>
      <c r="B1285" s="106" t="s">
        <v>19</v>
      </c>
      <c r="C1285" s="175">
        <f t="shared" ref="C1285:D1285" si="207">SUM(C1279:C1284)</f>
        <v>72000</v>
      </c>
      <c r="D1285" s="32">
        <f t="shared" si="207"/>
        <v>353875</v>
      </c>
      <c r="E1285" s="40"/>
    </row>
    <row r="1286" ht="15.75" customHeight="1">
      <c r="A1286" s="101"/>
      <c r="B1286" s="136" t="s">
        <v>20</v>
      </c>
      <c r="C1286" s="170"/>
      <c r="D1286" s="32">
        <f>C1285-D1285</f>
        <v>-281875</v>
      </c>
      <c r="E1286" s="40"/>
    </row>
    <row r="1287" ht="15.75" customHeight="1">
      <c r="A1287" s="234">
        <v>172332.0</v>
      </c>
      <c r="B1287" s="210" t="s">
        <v>291</v>
      </c>
      <c r="C1287" s="75"/>
      <c r="D1287" s="85"/>
      <c r="E1287" s="177"/>
    </row>
    <row r="1288" ht="15.75" customHeight="1">
      <c r="A1288" s="62">
        <v>3011.0</v>
      </c>
      <c r="B1288" s="98" t="s">
        <v>22</v>
      </c>
      <c r="C1288" s="21">
        <f>150*70</f>
        <v>10500</v>
      </c>
      <c r="D1288" s="22"/>
      <c r="E1288" s="25">
        <f>E1284+1</f>
        <v>24</v>
      </c>
    </row>
    <row r="1289" ht="15.75" customHeight="1">
      <c r="A1289" s="62">
        <v>3030.0</v>
      </c>
      <c r="B1289" s="98" t="s">
        <v>117</v>
      </c>
      <c r="C1289" s="21">
        <f>30000*1.13</f>
        <v>33900</v>
      </c>
      <c r="D1289" s="22"/>
      <c r="E1289" s="25">
        <f t="shared" ref="E1289:E1294" si="208">E1288+1</f>
        <v>25</v>
      </c>
    </row>
    <row r="1290" ht="15.75" customHeight="1">
      <c r="A1290" s="62">
        <v>4012.0</v>
      </c>
      <c r="B1290" s="98" t="s">
        <v>118</v>
      </c>
      <c r="C1290" s="39"/>
      <c r="D1290" s="22">
        <f>C1289/1.9</f>
        <v>17842.10526</v>
      </c>
      <c r="E1290" s="25">
        <f t="shared" si="208"/>
        <v>26</v>
      </c>
    </row>
    <row r="1291" ht="15.75" customHeight="1">
      <c r="A1291" s="62">
        <v>4013.0</v>
      </c>
      <c r="B1291" s="98" t="s">
        <v>98</v>
      </c>
      <c r="C1291" s="39"/>
      <c r="D1291" s="22">
        <f>40*30</f>
        <v>1200</v>
      </c>
      <c r="E1291" s="25">
        <f t="shared" si="208"/>
        <v>27</v>
      </c>
    </row>
    <row r="1292" ht="15.75" customHeight="1">
      <c r="A1292" s="108">
        <v>4078.0</v>
      </c>
      <c r="B1292" s="127" t="s">
        <v>30</v>
      </c>
      <c r="C1292" s="39"/>
      <c r="D1292" s="29">
        <v>3500.0</v>
      </c>
      <c r="E1292" s="25">
        <f t="shared" si="208"/>
        <v>28</v>
      </c>
    </row>
    <row r="1293" ht="15.75" customHeight="1">
      <c r="A1293" s="101">
        <v>6800.0</v>
      </c>
      <c r="B1293" s="102" t="s">
        <v>114</v>
      </c>
      <c r="C1293" s="39"/>
      <c r="D1293" s="22">
        <f>(547.5*5*6+547.5*1*7)</f>
        <v>20257.5</v>
      </c>
      <c r="E1293" s="25">
        <f t="shared" si="208"/>
        <v>29</v>
      </c>
    </row>
    <row r="1294" ht="15.75" customHeight="1">
      <c r="A1294" s="62">
        <v>6993.0</v>
      </c>
      <c r="B1294" s="98" t="s">
        <v>115</v>
      </c>
      <c r="C1294" s="39"/>
      <c r="D1294" s="22">
        <f>300*6.25</f>
        <v>1875</v>
      </c>
      <c r="E1294" s="25">
        <f t="shared" si="208"/>
        <v>30</v>
      </c>
    </row>
    <row r="1295" ht="15.75" customHeight="1">
      <c r="A1295" s="62"/>
      <c r="B1295" s="106" t="s">
        <v>19</v>
      </c>
      <c r="C1295" s="31">
        <f t="shared" ref="C1295:D1295" si="209">SUM(C1288:C1294)</f>
        <v>44400</v>
      </c>
      <c r="D1295" s="32">
        <f t="shared" si="209"/>
        <v>44674.60526</v>
      </c>
      <c r="E1295" s="25"/>
    </row>
    <row r="1296" ht="15.75" customHeight="1">
      <c r="A1296" s="101"/>
      <c r="B1296" s="136" t="s">
        <v>20</v>
      </c>
      <c r="C1296" s="39"/>
      <c r="D1296" s="32">
        <f>C1295-D1295</f>
        <v>-274.6052632</v>
      </c>
      <c r="E1296" s="40"/>
    </row>
    <row r="1297" ht="15.75" customHeight="1">
      <c r="A1297" s="235"/>
      <c r="B1297" s="236" t="s">
        <v>292</v>
      </c>
      <c r="C1297" s="241">
        <f t="shared" ref="C1297:D1297" si="210">C1276+C1285+C1295</f>
        <v>1153750</v>
      </c>
      <c r="D1297" s="242">
        <f t="shared" si="210"/>
        <v>518179.6053</v>
      </c>
      <c r="E1297" s="239"/>
    </row>
    <row r="1298" ht="15.75" customHeight="1">
      <c r="A1298" s="235"/>
      <c r="B1298" s="236" t="s">
        <v>293</v>
      </c>
      <c r="C1298" s="241"/>
      <c r="D1298" s="242">
        <f>C1297-D1297</f>
        <v>635570.3947</v>
      </c>
      <c r="E1298" s="239"/>
    </row>
    <row r="1299" ht="15.75" customHeight="1">
      <c r="A1299" s="234">
        <v>172332.0</v>
      </c>
      <c r="B1299" s="208" t="s">
        <v>294</v>
      </c>
      <c r="C1299" s="75"/>
      <c r="D1299" s="85"/>
      <c r="E1299" s="177"/>
    </row>
    <row r="1300" ht="15.75" hidden="1" customHeight="1">
      <c r="A1300" s="101">
        <v>4076.0</v>
      </c>
      <c r="B1300" s="102" t="s">
        <v>29</v>
      </c>
      <c r="C1300" s="53"/>
      <c r="D1300" s="22">
        <v>0.0</v>
      </c>
      <c r="E1300" s="40"/>
    </row>
    <row r="1301" ht="15.75" hidden="1" customHeight="1">
      <c r="A1301" s="62"/>
      <c r="B1301" s="106" t="s">
        <v>19</v>
      </c>
      <c r="C1301" s="31">
        <f t="shared" ref="C1301:D1301" si="211">sum(C1300)</f>
        <v>0</v>
      </c>
      <c r="D1301" s="32">
        <f t="shared" si="211"/>
        <v>0</v>
      </c>
      <c r="E1301" s="25"/>
    </row>
    <row r="1302" ht="15.75" hidden="1" customHeight="1">
      <c r="A1302" s="101"/>
      <c r="B1302" s="136" t="s">
        <v>20</v>
      </c>
      <c r="C1302" s="53"/>
      <c r="D1302" s="32">
        <f>C1301-D1301</f>
        <v>0</v>
      </c>
      <c r="E1302" s="40"/>
    </row>
    <row r="1303" ht="15.75" customHeight="1">
      <c r="A1303" s="234">
        <v>172307.0</v>
      </c>
      <c r="B1303" s="208" t="s">
        <v>295</v>
      </c>
      <c r="C1303" s="75"/>
      <c r="D1303" s="85"/>
      <c r="E1303" s="177"/>
    </row>
    <row r="1304" ht="15.75" hidden="1" customHeight="1">
      <c r="A1304" s="62">
        <v>3110.0</v>
      </c>
      <c r="B1304" s="98" t="s">
        <v>111</v>
      </c>
      <c r="C1304" s="39"/>
      <c r="D1304" s="22"/>
      <c r="E1304" s="25"/>
    </row>
    <row r="1305" ht="15.75" hidden="1" customHeight="1">
      <c r="A1305" s="62">
        <v>3011.0</v>
      </c>
      <c r="B1305" s="98" t="s">
        <v>22</v>
      </c>
      <c r="C1305" s="39"/>
      <c r="D1305" s="22"/>
      <c r="E1305" s="25"/>
    </row>
    <row r="1306" ht="15.75" hidden="1" customHeight="1">
      <c r="A1306" s="62">
        <v>4010.0</v>
      </c>
      <c r="B1306" s="98" t="s">
        <v>48</v>
      </c>
      <c r="C1306" s="39"/>
      <c r="D1306" s="22"/>
      <c r="E1306" s="25"/>
    </row>
    <row r="1307" ht="15.75" hidden="1" customHeight="1">
      <c r="A1307" s="62">
        <v>4040.0</v>
      </c>
      <c r="B1307" s="98" t="s">
        <v>24</v>
      </c>
      <c r="C1307" s="39"/>
      <c r="D1307" s="22"/>
      <c r="E1307" s="25"/>
    </row>
    <row r="1308" ht="15.75" hidden="1" customHeight="1">
      <c r="A1308" s="62">
        <v>4060.0</v>
      </c>
      <c r="B1308" s="98" t="s">
        <v>27</v>
      </c>
      <c r="C1308" s="39"/>
      <c r="D1308" s="22"/>
      <c r="E1308" s="25"/>
    </row>
    <row r="1309" ht="15.75" hidden="1" customHeight="1">
      <c r="A1309" s="62">
        <v>4063.0</v>
      </c>
      <c r="B1309" s="98" t="s">
        <v>70</v>
      </c>
      <c r="C1309" s="39"/>
      <c r="D1309" s="22"/>
      <c r="E1309" s="25"/>
    </row>
    <row r="1310" ht="15.75" hidden="1" customHeight="1">
      <c r="A1310" s="62">
        <v>4069.0</v>
      </c>
      <c r="B1310" s="98" t="s">
        <v>181</v>
      </c>
      <c r="C1310" s="39"/>
      <c r="D1310" s="22"/>
      <c r="E1310" s="25"/>
    </row>
    <row r="1311" ht="15.75" hidden="1" customHeight="1">
      <c r="A1311" s="62">
        <v>4078.0</v>
      </c>
      <c r="B1311" s="98" t="s">
        <v>30</v>
      </c>
      <c r="C1311" s="39"/>
      <c r="D1311" s="22"/>
      <c r="E1311" s="25"/>
    </row>
    <row r="1312" ht="15.75" hidden="1" customHeight="1">
      <c r="A1312" s="62">
        <v>4076.0</v>
      </c>
      <c r="B1312" s="98" t="s">
        <v>29</v>
      </c>
      <c r="C1312" s="39"/>
      <c r="D1312" s="22"/>
      <c r="E1312" s="25"/>
    </row>
    <row r="1313" ht="15.75" hidden="1" customHeight="1">
      <c r="A1313" s="62">
        <v>4082.0</v>
      </c>
      <c r="B1313" s="98" t="s">
        <v>45</v>
      </c>
      <c r="C1313" s="39"/>
      <c r="D1313" s="22"/>
      <c r="E1313" s="25"/>
    </row>
    <row r="1314" ht="15.75" hidden="1" customHeight="1">
      <c r="A1314" s="62">
        <v>4190.0</v>
      </c>
      <c r="B1314" s="98" t="s">
        <v>32</v>
      </c>
      <c r="C1314" s="39"/>
      <c r="D1314" s="22"/>
      <c r="E1314" s="25"/>
    </row>
    <row r="1315" ht="15.75" hidden="1" customHeight="1">
      <c r="A1315" s="62">
        <v>5061.0</v>
      </c>
      <c r="B1315" s="98" t="s">
        <v>82</v>
      </c>
      <c r="C1315" s="39"/>
      <c r="D1315" s="22"/>
      <c r="E1315" s="25"/>
    </row>
    <row r="1316" ht="15.75" hidden="1" customHeight="1">
      <c r="A1316" s="62">
        <v>5461.0</v>
      </c>
      <c r="B1316" s="98" t="s">
        <v>84</v>
      </c>
      <c r="C1316" s="39"/>
      <c r="D1316" s="22"/>
      <c r="E1316" s="25"/>
    </row>
    <row r="1317" ht="15.75" hidden="1" customHeight="1">
      <c r="A1317" s="101">
        <v>6800.0</v>
      </c>
      <c r="B1317" s="102" t="s">
        <v>114</v>
      </c>
      <c r="C1317" s="39"/>
      <c r="D1317" s="22"/>
      <c r="E1317" s="25"/>
    </row>
    <row r="1318" ht="15.75" hidden="1" customHeight="1">
      <c r="A1318" s="62"/>
      <c r="B1318" s="106" t="s">
        <v>19</v>
      </c>
      <c r="C1318" s="31">
        <f>SUM(C1304:C1316)</f>
        <v>0</v>
      </c>
      <c r="D1318" s="32">
        <f>SUM(D1304:D1317)</f>
        <v>0</v>
      </c>
      <c r="E1318" s="25"/>
    </row>
    <row r="1319" ht="15.75" hidden="1" customHeight="1">
      <c r="A1319" s="101"/>
      <c r="B1319" s="136" t="s">
        <v>20</v>
      </c>
      <c r="C1319" s="53"/>
      <c r="D1319" s="32">
        <f>C1318-D1318</f>
        <v>0</v>
      </c>
      <c r="E1319" s="40"/>
    </row>
    <row r="1320" ht="15.75" hidden="1" customHeight="1">
      <c r="A1320" s="234">
        <v>172108.0</v>
      </c>
      <c r="B1320" s="208" t="s">
        <v>296</v>
      </c>
      <c r="C1320" s="75"/>
      <c r="D1320" s="85"/>
      <c r="E1320" s="177"/>
    </row>
    <row r="1321" ht="15.75" hidden="1" customHeight="1">
      <c r="A1321" s="62">
        <v>3011.0</v>
      </c>
      <c r="B1321" s="98" t="s">
        <v>22</v>
      </c>
      <c r="C1321" s="39"/>
      <c r="D1321" s="22"/>
      <c r="E1321" s="25"/>
    </row>
    <row r="1322" ht="15.75" hidden="1" customHeight="1">
      <c r="A1322" s="62">
        <v>4010.0</v>
      </c>
      <c r="B1322" s="98" t="s">
        <v>48</v>
      </c>
      <c r="C1322" s="39"/>
      <c r="D1322" s="22"/>
      <c r="E1322" s="25"/>
    </row>
    <row r="1323" ht="15.75" hidden="1" customHeight="1">
      <c r="A1323" s="62">
        <v>4012.0</v>
      </c>
      <c r="B1323" s="98" t="s">
        <v>118</v>
      </c>
      <c r="C1323" s="39"/>
      <c r="D1323" s="22"/>
      <c r="E1323" s="25"/>
    </row>
    <row r="1324" ht="15.75" hidden="1" customHeight="1">
      <c r="A1324" s="62">
        <v>4076.0</v>
      </c>
      <c r="B1324" s="98" t="s">
        <v>29</v>
      </c>
      <c r="C1324" s="39"/>
      <c r="D1324" s="22"/>
      <c r="E1324" s="25"/>
    </row>
    <row r="1325" ht="15.75" hidden="1" customHeight="1">
      <c r="A1325" s="62">
        <v>4078.0</v>
      </c>
      <c r="B1325" s="98" t="s">
        <v>30</v>
      </c>
      <c r="C1325" s="39"/>
      <c r="D1325" s="22"/>
      <c r="E1325" s="25"/>
    </row>
    <row r="1326" ht="15.75" hidden="1" customHeight="1">
      <c r="A1326" s="62">
        <v>5010.0</v>
      </c>
      <c r="B1326" s="98" t="s">
        <v>61</v>
      </c>
      <c r="C1326" s="39"/>
      <c r="D1326" s="22"/>
      <c r="E1326" s="25"/>
    </row>
    <row r="1327" ht="15.75" hidden="1" customHeight="1">
      <c r="A1327" s="62">
        <v>6071.0</v>
      </c>
      <c r="B1327" s="98" t="s">
        <v>36</v>
      </c>
      <c r="C1327" s="39"/>
      <c r="D1327" s="22"/>
      <c r="E1327" s="25"/>
    </row>
    <row r="1328" ht="15.75" hidden="1" customHeight="1">
      <c r="A1328" s="62"/>
      <c r="B1328" s="106" t="s">
        <v>19</v>
      </c>
      <c r="C1328" s="31">
        <f t="shared" ref="C1328:D1328" si="212">SUM(C1321:C1327)</f>
        <v>0</v>
      </c>
      <c r="D1328" s="32">
        <f t="shared" si="212"/>
        <v>0</v>
      </c>
      <c r="E1328" s="25"/>
    </row>
    <row r="1329" ht="15.75" hidden="1" customHeight="1">
      <c r="A1329" s="101"/>
      <c r="B1329" s="136" t="s">
        <v>20</v>
      </c>
      <c r="C1329" s="53"/>
      <c r="D1329" s="32">
        <f>C1328-D1328</f>
        <v>0</v>
      </c>
      <c r="E1329" s="40"/>
    </row>
    <row r="1330" ht="15.75" customHeight="1">
      <c r="A1330" s="243"/>
      <c r="B1330" s="208" t="s">
        <v>297</v>
      </c>
      <c r="C1330" s="75"/>
      <c r="D1330" s="85"/>
      <c r="E1330" s="177"/>
    </row>
    <row r="1331" ht="15.75" hidden="1" customHeight="1">
      <c r="A1331" s="62">
        <v>3010.0</v>
      </c>
      <c r="B1331" s="98" t="s">
        <v>2</v>
      </c>
      <c r="C1331" s="39">
        <v>0.0</v>
      </c>
      <c r="D1331" s="22"/>
      <c r="E1331" s="25"/>
    </row>
    <row r="1332" ht="15.75" hidden="1" customHeight="1">
      <c r="A1332" s="62">
        <v>4010.0</v>
      </c>
      <c r="B1332" s="98" t="s">
        <v>48</v>
      </c>
      <c r="C1332" s="39"/>
      <c r="D1332" s="22">
        <v>0.0</v>
      </c>
      <c r="E1332" s="25"/>
    </row>
    <row r="1333" ht="15.75" hidden="1" customHeight="1">
      <c r="A1333" s="62">
        <v>4040.0</v>
      </c>
      <c r="B1333" s="98" t="s">
        <v>24</v>
      </c>
      <c r="C1333" s="39"/>
      <c r="D1333" s="22">
        <v>0.0</v>
      </c>
      <c r="E1333" s="25"/>
    </row>
    <row r="1334" ht="15.75" hidden="1" customHeight="1">
      <c r="A1334" s="62">
        <v>4063.0</v>
      </c>
      <c r="B1334" s="98" t="s">
        <v>70</v>
      </c>
      <c r="C1334" s="39"/>
      <c r="D1334" s="22">
        <v>0.0</v>
      </c>
      <c r="E1334" s="25"/>
    </row>
    <row r="1335" ht="15.75" hidden="1" customHeight="1">
      <c r="A1335" s="62">
        <v>4069.0</v>
      </c>
      <c r="B1335" s="98" t="s">
        <v>181</v>
      </c>
      <c r="C1335" s="39"/>
      <c r="D1335" s="22">
        <v>0.0</v>
      </c>
      <c r="E1335" s="25"/>
    </row>
    <row r="1336" ht="15.75" hidden="1" customHeight="1">
      <c r="A1336" s="62">
        <v>4076.0</v>
      </c>
      <c r="B1336" s="98" t="s">
        <v>29</v>
      </c>
      <c r="C1336" s="39"/>
      <c r="D1336" s="22">
        <v>0.0</v>
      </c>
      <c r="E1336" s="25"/>
    </row>
    <row r="1337" ht="15.75" hidden="1" customHeight="1">
      <c r="A1337" s="62">
        <v>4190.0</v>
      </c>
      <c r="B1337" s="98" t="s">
        <v>32</v>
      </c>
      <c r="C1337" s="39"/>
      <c r="D1337" s="22">
        <v>0.0</v>
      </c>
      <c r="E1337" s="25"/>
    </row>
    <row r="1338" ht="15.75" hidden="1" customHeight="1">
      <c r="A1338" s="62"/>
      <c r="B1338" s="106" t="s">
        <v>19</v>
      </c>
      <c r="C1338" s="31">
        <f t="shared" ref="C1338:D1338" si="213">SUM(C1331:C1337)</f>
        <v>0</v>
      </c>
      <c r="D1338" s="32">
        <f t="shared" si="213"/>
        <v>0</v>
      </c>
      <c r="E1338" s="25"/>
    </row>
    <row r="1339" ht="15.75" hidden="1" customHeight="1">
      <c r="A1339" s="101"/>
      <c r="B1339" s="136" t="s">
        <v>20</v>
      </c>
      <c r="C1339" s="53"/>
      <c r="D1339" s="32">
        <f>C1338-D1338</f>
        <v>0</v>
      </c>
      <c r="E1339" s="40"/>
    </row>
    <row r="1340" ht="15.75" customHeight="1">
      <c r="A1340" s="234">
        <v>172309.0</v>
      </c>
      <c r="B1340" s="176" t="s">
        <v>298</v>
      </c>
      <c r="C1340" s="75"/>
      <c r="D1340" s="76"/>
      <c r="E1340" s="177"/>
    </row>
    <row r="1341" ht="15.75" customHeight="1">
      <c r="A1341" s="62">
        <v>3110.0</v>
      </c>
      <c r="B1341" s="98" t="s">
        <v>111</v>
      </c>
      <c r="C1341" s="39">
        <f>20000*3</f>
        <v>60000</v>
      </c>
      <c r="D1341" s="22"/>
      <c r="E1341" s="25">
        <f>E1294+1</f>
        <v>31</v>
      </c>
    </row>
    <row r="1342" ht="15.75" customHeight="1">
      <c r="A1342" s="62">
        <v>4040.0</v>
      </c>
      <c r="B1342" s="98" t="s">
        <v>24</v>
      </c>
      <c r="C1342" s="39"/>
      <c r="D1342" s="22">
        <v>0.0</v>
      </c>
      <c r="E1342" s="25">
        <f t="shared" ref="E1342:E1350" si="214">E1341+1</f>
        <v>32</v>
      </c>
    </row>
    <row r="1343" ht="15.75" customHeight="1">
      <c r="A1343" s="62">
        <v>4060.0</v>
      </c>
      <c r="B1343" s="98" t="s">
        <v>27</v>
      </c>
      <c r="C1343" s="39"/>
      <c r="D1343" s="22">
        <f>1*550+1*80+17*200+50*18</f>
        <v>4930</v>
      </c>
      <c r="E1343" s="25">
        <f t="shared" si="214"/>
        <v>33</v>
      </c>
    </row>
    <row r="1344" ht="15.75" customHeight="1">
      <c r="A1344" s="62">
        <v>4063.0</v>
      </c>
      <c r="B1344" s="98" t="s">
        <v>70</v>
      </c>
      <c r="C1344" s="39"/>
      <c r="D1344" s="22">
        <v>0.0</v>
      </c>
      <c r="E1344" s="25">
        <f t="shared" si="214"/>
        <v>34</v>
      </c>
    </row>
    <row r="1345" ht="15.75" customHeight="1">
      <c r="A1345" s="62">
        <v>4075.0</v>
      </c>
      <c r="B1345" s="98" t="s">
        <v>43</v>
      </c>
      <c r="C1345" s="39"/>
      <c r="D1345" s="22">
        <v>0.0</v>
      </c>
      <c r="E1345" s="25">
        <f t="shared" si="214"/>
        <v>35</v>
      </c>
    </row>
    <row r="1346" ht="15.75" customHeight="1">
      <c r="A1346" s="62">
        <v>4076.0</v>
      </c>
      <c r="B1346" s="98" t="s">
        <v>29</v>
      </c>
      <c r="C1346" s="39"/>
      <c r="D1346" s="22">
        <f>1000*6</f>
        <v>6000</v>
      </c>
      <c r="E1346" s="25">
        <f t="shared" si="214"/>
        <v>36</v>
      </c>
    </row>
    <row r="1347" ht="15.75" customHeight="1">
      <c r="A1347" s="62">
        <v>4082.0</v>
      </c>
      <c r="B1347" s="98" t="s">
        <v>45</v>
      </c>
      <c r="C1347" s="39"/>
      <c r="D1347" s="22">
        <f>200*4+200*14</f>
        <v>3600</v>
      </c>
      <c r="E1347" s="25">
        <f t="shared" si="214"/>
        <v>37</v>
      </c>
    </row>
    <row r="1348" ht="15.75" customHeight="1">
      <c r="A1348" s="62">
        <v>4190.0</v>
      </c>
      <c r="B1348" s="98" t="s">
        <v>32</v>
      </c>
      <c r="C1348" s="39"/>
      <c r="D1348" s="22">
        <f>4*500+4*400+10*400</f>
        <v>7600</v>
      </c>
      <c r="E1348" s="25">
        <f t="shared" si="214"/>
        <v>38</v>
      </c>
    </row>
    <row r="1349" ht="15.75" customHeight="1">
      <c r="A1349" s="62">
        <v>5050.0</v>
      </c>
      <c r="B1349" s="98" t="s">
        <v>33</v>
      </c>
      <c r="C1349" s="39"/>
      <c r="D1349" s="22">
        <v>0.0</v>
      </c>
      <c r="E1349" s="25">
        <f t="shared" si="214"/>
        <v>39</v>
      </c>
    </row>
    <row r="1350" ht="15.75" customHeight="1">
      <c r="A1350" s="62">
        <v>5420.0</v>
      </c>
      <c r="B1350" s="98" t="s">
        <v>134</v>
      </c>
      <c r="C1350" s="39"/>
      <c r="D1350" s="22">
        <f>5600+3312.5/5</f>
        <v>6262.5</v>
      </c>
      <c r="E1350" s="25">
        <f t="shared" si="214"/>
        <v>40</v>
      </c>
    </row>
    <row r="1351" ht="15.75" customHeight="1">
      <c r="A1351" s="62"/>
      <c r="B1351" s="106" t="s">
        <v>19</v>
      </c>
      <c r="C1351" s="31">
        <f t="shared" ref="C1351:D1351" si="215">SUM(C1341:C1350)</f>
        <v>60000</v>
      </c>
      <c r="D1351" s="32">
        <f t="shared" si="215"/>
        <v>28392.5</v>
      </c>
      <c r="E1351" s="25"/>
    </row>
    <row r="1352" ht="15.75" customHeight="1">
      <c r="A1352" s="101"/>
      <c r="B1352" s="136" t="s">
        <v>20</v>
      </c>
      <c r="C1352" s="39"/>
      <c r="D1352" s="32">
        <f>C1351-D1351</f>
        <v>31607.5</v>
      </c>
      <c r="E1352" s="40"/>
    </row>
    <row r="1353" ht="15.75" customHeight="1">
      <c r="A1353" s="234">
        <v>172310.0</v>
      </c>
      <c r="B1353" s="176" t="s">
        <v>299</v>
      </c>
      <c r="C1353" s="84"/>
      <c r="D1353" s="76"/>
      <c r="E1353" s="177"/>
    </row>
    <row r="1354" ht="15.75" hidden="1" customHeight="1">
      <c r="A1354" s="62">
        <v>3010.0</v>
      </c>
      <c r="B1354" s="98" t="s">
        <v>2</v>
      </c>
      <c r="C1354" s="39">
        <v>0.0</v>
      </c>
      <c r="D1354" s="22"/>
      <c r="E1354" s="25"/>
    </row>
    <row r="1355" ht="15.75" hidden="1" customHeight="1">
      <c r="A1355" s="62">
        <v>3011.0</v>
      </c>
      <c r="B1355" s="98" t="s">
        <v>22</v>
      </c>
      <c r="C1355" s="39">
        <v>0.0</v>
      </c>
      <c r="D1355" s="22"/>
      <c r="E1355" s="25"/>
    </row>
    <row r="1356" ht="15.75" hidden="1" customHeight="1">
      <c r="A1356" s="62">
        <v>4040.0</v>
      </c>
      <c r="B1356" s="98" t="s">
        <v>24</v>
      </c>
      <c r="C1356" s="39"/>
      <c r="D1356" s="22">
        <v>0.0</v>
      </c>
      <c r="E1356" s="25"/>
    </row>
    <row r="1357" ht="15.75" hidden="1" customHeight="1">
      <c r="A1357" s="62">
        <v>4063.0</v>
      </c>
      <c r="B1357" s="98" t="s">
        <v>70</v>
      </c>
      <c r="C1357" s="39"/>
      <c r="D1357" s="22">
        <v>0.0</v>
      </c>
      <c r="E1357" s="25"/>
    </row>
    <row r="1358" ht="15.75" hidden="1" customHeight="1">
      <c r="A1358" s="62">
        <v>4076.0</v>
      </c>
      <c r="B1358" s="98" t="s">
        <v>29</v>
      </c>
      <c r="C1358" s="39"/>
      <c r="D1358" s="22">
        <v>0.0</v>
      </c>
      <c r="E1358" s="25"/>
    </row>
    <row r="1359" ht="15.75" hidden="1" customHeight="1">
      <c r="A1359" s="62">
        <v>4078.0</v>
      </c>
      <c r="B1359" s="98" t="s">
        <v>30</v>
      </c>
      <c r="C1359" s="39"/>
      <c r="D1359" s="22">
        <v>0.0</v>
      </c>
      <c r="E1359" s="25"/>
    </row>
    <row r="1360" ht="15.75" hidden="1" customHeight="1">
      <c r="A1360" s="62">
        <v>4190.0</v>
      </c>
      <c r="B1360" s="98" t="s">
        <v>32</v>
      </c>
      <c r="C1360" s="39"/>
      <c r="D1360" s="22">
        <v>0.0</v>
      </c>
      <c r="E1360" s="25"/>
    </row>
    <row r="1361" ht="15.75" hidden="1" customHeight="1">
      <c r="A1361" s="62">
        <v>5061.0</v>
      </c>
      <c r="B1361" s="98" t="s">
        <v>82</v>
      </c>
      <c r="C1361" s="39"/>
      <c r="D1361" s="22">
        <v>0.0</v>
      </c>
      <c r="E1361" s="25"/>
    </row>
    <row r="1362" ht="15.75" hidden="1" customHeight="1">
      <c r="A1362" s="62">
        <v>5461.0</v>
      </c>
      <c r="B1362" s="98" t="s">
        <v>84</v>
      </c>
      <c r="C1362" s="39"/>
      <c r="D1362" s="22">
        <v>0.0</v>
      </c>
      <c r="E1362" s="25"/>
    </row>
    <row r="1363" ht="15.75" hidden="1" customHeight="1">
      <c r="A1363" s="62">
        <v>5710.0</v>
      </c>
      <c r="B1363" s="98" t="s">
        <v>143</v>
      </c>
      <c r="C1363" s="39"/>
      <c r="D1363" s="22">
        <v>0.0</v>
      </c>
      <c r="E1363" s="25"/>
    </row>
    <row r="1364" ht="15.75" hidden="1" customHeight="1">
      <c r="A1364" s="62"/>
      <c r="B1364" s="106" t="s">
        <v>19</v>
      </c>
      <c r="C1364" s="31">
        <f t="shared" ref="C1364:D1364" si="216">SUM(C1354:C1363)</f>
        <v>0</v>
      </c>
      <c r="D1364" s="22">
        <f t="shared" si="216"/>
        <v>0</v>
      </c>
      <c r="E1364" s="25"/>
    </row>
    <row r="1365" ht="15.75" hidden="1" customHeight="1">
      <c r="A1365" s="101"/>
      <c r="B1365" s="136" t="s">
        <v>20</v>
      </c>
      <c r="C1365" s="53"/>
      <c r="D1365" s="32">
        <f>C1364-D1364</f>
        <v>0</v>
      </c>
      <c r="E1365" s="40"/>
    </row>
    <row r="1366" ht="15.75" customHeight="1">
      <c r="A1366" s="244" t="s">
        <v>300</v>
      </c>
      <c r="B1366" s="245"/>
      <c r="C1366" s="84"/>
      <c r="D1366" s="76"/>
      <c r="E1366" s="177"/>
    </row>
    <row r="1367" ht="15.75" customHeight="1">
      <c r="A1367" s="234">
        <v>172340.0</v>
      </c>
      <c r="B1367" s="176" t="s">
        <v>301</v>
      </c>
      <c r="C1367" s="84"/>
      <c r="D1367" s="76"/>
      <c r="E1367" s="177"/>
    </row>
    <row r="1368" ht="15.75" customHeight="1">
      <c r="A1368" s="62">
        <v>3110.0</v>
      </c>
      <c r="B1368" s="98" t="s">
        <v>111</v>
      </c>
      <c r="C1368" s="170">
        <f>40000+60000</f>
        <v>100000</v>
      </c>
      <c r="D1368" s="22"/>
      <c r="E1368" s="246">
        <v>2.0</v>
      </c>
    </row>
    <row r="1369" ht="15.75" customHeight="1">
      <c r="A1369" s="62">
        <v>4040.0</v>
      </c>
      <c r="B1369" s="137" t="s">
        <v>24</v>
      </c>
      <c r="C1369" s="170"/>
      <c r="D1369" s="22">
        <v>0.0</v>
      </c>
      <c r="E1369" s="247">
        <f t="shared" ref="E1369:E1378" si="217">E1368+1</f>
        <v>3</v>
      </c>
    </row>
    <row r="1370" ht="15.75" customHeight="1">
      <c r="A1370" s="62">
        <v>4049.0</v>
      </c>
      <c r="B1370" s="248" t="s">
        <v>161</v>
      </c>
      <c r="C1370" s="170"/>
      <c r="D1370" s="29">
        <v>0.0</v>
      </c>
      <c r="E1370" s="247">
        <f t="shared" si="217"/>
        <v>4</v>
      </c>
    </row>
    <row r="1371" ht="15.75" customHeight="1">
      <c r="A1371" s="62">
        <v>4060.0</v>
      </c>
      <c r="B1371" s="137" t="s">
        <v>27</v>
      </c>
      <c r="C1371" s="170"/>
      <c r="D1371" s="22">
        <f>4*550+4*80+11*200+50*15</f>
        <v>5470</v>
      </c>
      <c r="E1371" s="247">
        <f t="shared" si="217"/>
        <v>5</v>
      </c>
    </row>
    <row r="1372" ht="15.75" customHeight="1">
      <c r="A1372" s="19">
        <v>4063.0</v>
      </c>
      <c r="B1372" s="209" t="s">
        <v>70</v>
      </c>
      <c r="C1372" s="170"/>
      <c r="D1372" s="22">
        <v>3000.0</v>
      </c>
      <c r="E1372" s="247">
        <f t="shared" si="217"/>
        <v>6</v>
      </c>
    </row>
    <row r="1373" ht="15.75" customHeight="1">
      <c r="A1373" s="62">
        <v>4069.0</v>
      </c>
      <c r="B1373" s="137" t="s">
        <v>181</v>
      </c>
      <c r="C1373" s="170"/>
      <c r="D1373" s="22">
        <v>0.0</v>
      </c>
      <c r="E1373" s="247">
        <f t="shared" si="217"/>
        <v>7</v>
      </c>
    </row>
    <row r="1374" ht="15.75" customHeight="1">
      <c r="A1374" s="62">
        <v>4076.0</v>
      </c>
      <c r="B1374" s="137" t="s">
        <v>29</v>
      </c>
      <c r="C1374" s="170"/>
      <c r="D1374" s="249">
        <v>0.0</v>
      </c>
      <c r="E1374" s="247">
        <f t="shared" si="217"/>
        <v>8</v>
      </c>
    </row>
    <row r="1375" ht="15.75" customHeight="1">
      <c r="A1375" s="62">
        <v>4082.0</v>
      </c>
      <c r="B1375" s="137" t="s">
        <v>45</v>
      </c>
      <c r="C1375" s="170"/>
      <c r="D1375" s="22">
        <f>15*200</f>
        <v>3000</v>
      </c>
      <c r="E1375" s="247">
        <f t="shared" si="217"/>
        <v>9</v>
      </c>
    </row>
    <row r="1376" ht="15.75" customHeight="1">
      <c r="A1376" s="62">
        <v>4190.0</v>
      </c>
      <c r="B1376" s="137" t="s">
        <v>32</v>
      </c>
      <c r="C1376" s="170"/>
      <c r="D1376" s="22">
        <f>4*500+11*400</f>
        <v>6400</v>
      </c>
      <c r="E1376" s="247">
        <f t="shared" si="217"/>
        <v>10</v>
      </c>
    </row>
    <row r="1377" ht="15.75" customHeight="1">
      <c r="A1377" s="62">
        <v>5461.0</v>
      </c>
      <c r="B1377" s="137" t="s">
        <v>84</v>
      </c>
      <c r="C1377" s="170"/>
      <c r="D1377" s="22">
        <v>0.0</v>
      </c>
      <c r="E1377" s="247">
        <f t="shared" si="217"/>
        <v>11</v>
      </c>
    </row>
    <row r="1378" ht="15.75" customHeight="1">
      <c r="A1378" s="62">
        <v>4047.0</v>
      </c>
      <c r="B1378" s="248" t="s">
        <v>14</v>
      </c>
      <c r="C1378" s="170"/>
      <c r="D1378" s="22">
        <v>0.0</v>
      </c>
      <c r="E1378" s="247">
        <f t="shared" si="217"/>
        <v>12</v>
      </c>
    </row>
    <row r="1379" ht="15.75" customHeight="1">
      <c r="A1379" s="62"/>
      <c r="B1379" s="106" t="s">
        <v>19</v>
      </c>
      <c r="C1379" s="175">
        <f t="shared" ref="C1379:D1379" si="218">SUM(C1368:C1378)</f>
        <v>100000</v>
      </c>
      <c r="D1379" s="32">
        <f t="shared" si="218"/>
        <v>17870</v>
      </c>
      <c r="E1379" s="247"/>
    </row>
    <row r="1380" ht="15.75" customHeight="1">
      <c r="A1380" s="101"/>
      <c r="B1380" s="136" t="s">
        <v>20</v>
      </c>
      <c r="C1380" s="170"/>
      <c r="D1380" s="32">
        <f>C1379-D1379</f>
        <v>82130</v>
      </c>
      <c r="E1380" s="250"/>
    </row>
    <row r="1381" ht="15.75" customHeight="1">
      <c r="A1381" s="234">
        <v>172341.0</v>
      </c>
      <c r="B1381" s="210" t="s">
        <v>302</v>
      </c>
      <c r="C1381" s="87"/>
      <c r="D1381" s="85"/>
      <c r="E1381" s="77"/>
    </row>
    <row r="1382" ht="15.75" customHeight="1">
      <c r="A1382" s="108">
        <v>3010.0</v>
      </c>
      <c r="B1382" s="179" t="s">
        <v>2</v>
      </c>
      <c r="C1382" s="170">
        <f>D1388/2</f>
        <v>7950</v>
      </c>
      <c r="D1382" s="22"/>
      <c r="E1382" s="247">
        <f>E1378+1</f>
        <v>13</v>
      </c>
    </row>
    <row r="1383" ht="15.75" customHeight="1">
      <c r="A1383" s="108">
        <v>4010.0</v>
      </c>
      <c r="B1383" s="179" t="s">
        <v>48</v>
      </c>
      <c r="C1383" s="170"/>
      <c r="D1383" s="22">
        <v>1500.0</v>
      </c>
      <c r="E1383" s="247">
        <f t="shared" ref="E1383:E1387" si="219">E1382+1</f>
        <v>14</v>
      </c>
    </row>
    <row r="1384" ht="15.75" hidden="1" customHeight="1">
      <c r="A1384" s="108">
        <v>4012.0</v>
      </c>
      <c r="B1384" s="179" t="s">
        <v>303</v>
      </c>
      <c r="C1384" s="170"/>
      <c r="D1384" s="22">
        <v>0.0</v>
      </c>
      <c r="E1384" s="247">
        <f t="shared" si="219"/>
        <v>15</v>
      </c>
    </row>
    <row r="1385" ht="15.75" customHeight="1">
      <c r="A1385" s="62">
        <v>4076.0</v>
      </c>
      <c r="B1385" s="137" t="s">
        <v>29</v>
      </c>
      <c r="C1385" s="170"/>
      <c r="D1385" s="22">
        <v>14000.0</v>
      </c>
      <c r="E1385" s="247">
        <f t="shared" si="219"/>
        <v>16</v>
      </c>
    </row>
    <row r="1386" ht="15.75" customHeight="1">
      <c r="A1386" s="62">
        <v>4078.0</v>
      </c>
      <c r="B1386" s="137" t="s">
        <v>30</v>
      </c>
      <c r="C1386" s="170"/>
      <c r="D1386" s="22">
        <v>400.0</v>
      </c>
      <c r="E1386" s="247">
        <f t="shared" si="219"/>
        <v>17</v>
      </c>
    </row>
    <row r="1387" ht="15.75" hidden="1" customHeight="1">
      <c r="A1387" s="62">
        <v>6071.0</v>
      </c>
      <c r="B1387" s="137" t="s">
        <v>36</v>
      </c>
      <c r="C1387" s="156"/>
      <c r="D1387" s="22">
        <v>0.0</v>
      </c>
      <c r="E1387" s="247">
        <f t="shared" si="219"/>
        <v>18</v>
      </c>
    </row>
    <row r="1388" ht="15.75" customHeight="1">
      <c r="A1388" s="62"/>
      <c r="B1388" s="180" t="s">
        <v>19</v>
      </c>
      <c r="C1388" s="175">
        <f t="shared" ref="C1388:D1388" si="220">SUM(C1382:C1387)</f>
        <v>7950</v>
      </c>
      <c r="D1388" s="32">
        <f t="shared" si="220"/>
        <v>15900</v>
      </c>
      <c r="E1388" s="247"/>
    </row>
    <row r="1389" ht="15.75" customHeight="1">
      <c r="A1389" s="62"/>
      <c r="B1389" s="180" t="s">
        <v>20</v>
      </c>
      <c r="C1389" s="175"/>
      <c r="D1389" s="32">
        <f>C1388-D1388</f>
        <v>-7950</v>
      </c>
      <c r="E1389" s="247"/>
    </row>
    <row r="1390" ht="15.75" customHeight="1">
      <c r="A1390" s="234">
        <v>172342.0</v>
      </c>
      <c r="B1390" s="208" t="s">
        <v>304</v>
      </c>
      <c r="C1390" s="251"/>
      <c r="D1390" s="252"/>
      <c r="E1390" s="77"/>
    </row>
    <row r="1391" ht="15.75" hidden="1" customHeight="1">
      <c r="A1391" s="19">
        <v>3030.0</v>
      </c>
      <c r="B1391" s="253" t="s">
        <v>117</v>
      </c>
      <c r="C1391" s="170"/>
      <c r="D1391" s="22"/>
      <c r="E1391" s="247"/>
    </row>
    <row r="1392" ht="15.75" hidden="1" customHeight="1">
      <c r="A1392" s="152">
        <v>4012.0</v>
      </c>
      <c r="B1392" s="240" t="s">
        <v>118</v>
      </c>
      <c r="C1392" s="170"/>
      <c r="D1392" s="22"/>
      <c r="E1392" s="247"/>
    </row>
    <row r="1393" ht="15.75" customHeight="1">
      <c r="A1393" s="62">
        <v>4040.0</v>
      </c>
      <c r="B1393" s="100" t="s">
        <v>24</v>
      </c>
      <c r="C1393" s="170"/>
      <c r="D1393" s="22">
        <f>100*5+550</f>
        <v>1050</v>
      </c>
      <c r="E1393" s="247">
        <f>E1387+1</f>
        <v>19</v>
      </c>
    </row>
    <row r="1394" ht="15.75" customHeight="1">
      <c r="A1394" s="62">
        <v>4063.0</v>
      </c>
      <c r="B1394" s="100" t="s">
        <v>70</v>
      </c>
      <c r="C1394" s="170"/>
      <c r="D1394" s="22">
        <v>0.0</v>
      </c>
      <c r="E1394" s="247">
        <f t="shared" ref="E1394:E1396" si="221">E1393+1</f>
        <v>20</v>
      </c>
    </row>
    <row r="1395" ht="15.75" customHeight="1">
      <c r="A1395" s="62">
        <v>4069.0</v>
      </c>
      <c r="B1395" s="100" t="s">
        <v>181</v>
      </c>
      <c r="C1395" s="170"/>
      <c r="D1395" s="22">
        <v>0.0</v>
      </c>
      <c r="E1395" s="247">
        <f t="shared" si="221"/>
        <v>21</v>
      </c>
    </row>
    <row r="1396" ht="15.75" customHeight="1">
      <c r="A1396" s="62">
        <v>4076.0</v>
      </c>
      <c r="B1396" s="100" t="s">
        <v>29</v>
      </c>
      <c r="C1396" s="170"/>
      <c r="D1396" s="22">
        <f>5*70*85</f>
        <v>29750</v>
      </c>
      <c r="E1396" s="247">
        <f t="shared" si="221"/>
        <v>22</v>
      </c>
    </row>
    <row r="1397" ht="15.75" hidden="1" customHeight="1">
      <c r="A1397" s="62"/>
      <c r="B1397" s="100"/>
      <c r="C1397" s="170"/>
      <c r="D1397" s="22"/>
      <c r="E1397" s="247"/>
    </row>
    <row r="1398" ht="15.75" customHeight="1">
      <c r="A1398" s="62"/>
      <c r="B1398" s="106" t="s">
        <v>19</v>
      </c>
      <c r="C1398" s="175">
        <f t="shared" ref="C1398:D1398" si="222">SUM(C1391:C1397)</f>
        <v>0</v>
      </c>
      <c r="D1398" s="32">
        <f t="shared" si="222"/>
        <v>30800</v>
      </c>
      <c r="E1398" s="247"/>
    </row>
    <row r="1399" ht="15.75" customHeight="1">
      <c r="A1399" s="62"/>
      <c r="B1399" s="136" t="s">
        <v>20</v>
      </c>
      <c r="C1399" s="175"/>
      <c r="D1399" s="32">
        <f>C1398-D1398</f>
        <v>-30800</v>
      </c>
      <c r="E1399" s="247"/>
    </row>
    <row r="1400" ht="15.75" customHeight="1">
      <c r="A1400" s="234">
        <v>172343.0</v>
      </c>
      <c r="B1400" s="210" t="s">
        <v>305</v>
      </c>
      <c r="C1400" s="87"/>
      <c r="D1400" s="85"/>
      <c r="E1400" s="77"/>
    </row>
    <row r="1401" ht="15.75" customHeight="1">
      <c r="A1401" s="254">
        <v>3011.0</v>
      </c>
      <c r="B1401" s="240" t="s">
        <v>22</v>
      </c>
      <c r="C1401" s="170">
        <v>0.0</v>
      </c>
      <c r="D1401" s="196"/>
      <c r="E1401" s="247">
        <f>E1396+1</f>
        <v>23</v>
      </c>
    </row>
    <row r="1402" ht="15.75" customHeight="1">
      <c r="A1402" s="254">
        <v>3014.0</v>
      </c>
      <c r="B1402" s="240" t="s">
        <v>55</v>
      </c>
      <c r="C1402" s="168">
        <v>0.0</v>
      </c>
      <c r="D1402" s="196"/>
      <c r="E1402" s="247">
        <f t="shared" ref="E1402:E1409" si="223">E1401+1</f>
        <v>24</v>
      </c>
    </row>
    <row r="1403" ht="15.75" customHeight="1">
      <c r="A1403" s="254">
        <v>4010.0</v>
      </c>
      <c r="B1403" s="240" t="s">
        <v>48</v>
      </c>
      <c r="C1403" s="156"/>
      <c r="D1403" s="29">
        <v>13000.0</v>
      </c>
      <c r="E1403" s="247">
        <f t="shared" si="223"/>
        <v>25</v>
      </c>
    </row>
    <row r="1404" ht="15.75" customHeight="1">
      <c r="A1404" s="254">
        <v>4012.0</v>
      </c>
      <c r="B1404" s="240" t="s">
        <v>118</v>
      </c>
      <c r="C1404" s="156"/>
      <c r="D1404" s="22">
        <v>0.0</v>
      </c>
      <c r="E1404" s="247">
        <f t="shared" si="223"/>
        <v>26</v>
      </c>
    </row>
    <row r="1405" ht="15.75" customHeight="1">
      <c r="A1405" s="254">
        <v>4076.0</v>
      </c>
      <c r="B1405" s="240" t="s">
        <v>29</v>
      </c>
      <c r="C1405" s="156"/>
      <c r="D1405" s="29">
        <v>17000.0</v>
      </c>
      <c r="E1405" s="247">
        <f t="shared" si="223"/>
        <v>27</v>
      </c>
    </row>
    <row r="1406" ht="15.75" customHeight="1">
      <c r="A1406" s="254">
        <v>4078.0</v>
      </c>
      <c r="B1406" s="240" t="s">
        <v>30</v>
      </c>
      <c r="C1406" s="156"/>
      <c r="D1406" s="22">
        <v>2800.0</v>
      </c>
      <c r="E1406" s="247">
        <f t="shared" si="223"/>
        <v>28</v>
      </c>
    </row>
    <row r="1407" ht="15.75" customHeight="1">
      <c r="A1407" s="254">
        <v>6071.0</v>
      </c>
      <c r="B1407" s="240" t="s">
        <v>36</v>
      </c>
      <c r="C1407" s="156"/>
      <c r="D1407" s="29">
        <v>0.0</v>
      </c>
      <c r="E1407" s="247">
        <f t="shared" si="223"/>
        <v>29</v>
      </c>
    </row>
    <row r="1408" ht="15.75" customHeight="1">
      <c r="A1408" s="254">
        <v>6800.0</v>
      </c>
      <c r="B1408" s="240" t="s">
        <v>114</v>
      </c>
      <c r="C1408" s="156"/>
      <c r="D1408" s="22">
        <v>0.0</v>
      </c>
      <c r="E1408" s="247">
        <f t="shared" si="223"/>
        <v>30</v>
      </c>
    </row>
    <row r="1409" ht="15.75" customHeight="1">
      <c r="A1409" s="254">
        <v>6993.0</v>
      </c>
      <c r="B1409" s="240" t="s">
        <v>115</v>
      </c>
      <c r="C1409" s="156"/>
      <c r="D1409" s="22">
        <v>0.0</v>
      </c>
      <c r="E1409" s="247">
        <f t="shared" si="223"/>
        <v>31</v>
      </c>
    </row>
    <row r="1410" ht="15.75" customHeight="1">
      <c r="A1410" s="66"/>
      <c r="B1410" s="255" t="s">
        <v>19</v>
      </c>
      <c r="C1410" s="175">
        <f t="shared" ref="C1410:D1410" si="224">SUM(C1401:C1409)</f>
        <v>0</v>
      </c>
      <c r="D1410" s="32">
        <f t="shared" si="224"/>
        <v>32800</v>
      </c>
      <c r="E1410" s="247"/>
    </row>
    <row r="1411" ht="15.75" customHeight="1">
      <c r="A1411" s="220"/>
      <c r="B1411" s="256" t="s">
        <v>20</v>
      </c>
      <c r="C1411" s="201"/>
      <c r="D1411" s="32">
        <f>C1410-D1410</f>
        <v>-32800</v>
      </c>
      <c r="E1411" s="247"/>
    </row>
    <row r="1412" ht="15.75" customHeight="1">
      <c r="A1412" s="234">
        <v>172344.0</v>
      </c>
      <c r="B1412" s="208" t="s">
        <v>306</v>
      </c>
      <c r="C1412" s="87"/>
      <c r="D1412" s="85"/>
      <c r="E1412" s="77"/>
    </row>
    <row r="1413" ht="15.75" hidden="1" customHeight="1">
      <c r="A1413" s="254">
        <v>3110.0</v>
      </c>
      <c r="B1413" s="240" t="s">
        <v>111</v>
      </c>
      <c r="C1413" s="170">
        <v>0.0</v>
      </c>
      <c r="D1413" s="22"/>
      <c r="E1413" s="247">
        <f>E1409+1</f>
        <v>32</v>
      </c>
    </row>
    <row r="1414" ht="15.75" hidden="1" customHeight="1">
      <c r="A1414" s="254">
        <v>3076.0</v>
      </c>
      <c r="B1414" s="240" t="s">
        <v>281</v>
      </c>
      <c r="C1414" s="170">
        <v>0.0</v>
      </c>
      <c r="D1414" s="22"/>
      <c r="E1414" s="247">
        <f t="shared" ref="E1414:E1418" si="225">E1413+1</f>
        <v>33</v>
      </c>
    </row>
    <row r="1415" ht="15.75" hidden="1" customHeight="1">
      <c r="A1415" s="254">
        <v>4010.0</v>
      </c>
      <c r="B1415" s="240" t="s">
        <v>48</v>
      </c>
      <c r="C1415" s="170"/>
      <c r="D1415" s="22">
        <v>0.0</v>
      </c>
      <c r="E1415" s="247">
        <f t="shared" si="225"/>
        <v>34</v>
      </c>
    </row>
    <row r="1416" ht="15.75" hidden="1" customHeight="1">
      <c r="A1416" s="254">
        <v>4013.0</v>
      </c>
      <c r="B1416" s="240" t="s">
        <v>98</v>
      </c>
      <c r="C1416" s="170"/>
      <c r="D1416" s="22">
        <v>0.0</v>
      </c>
      <c r="E1416" s="247">
        <f t="shared" si="225"/>
        <v>35</v>
      </c>
    </row>
    <row r="1417" ht="15.75" hidden="1" customHeight="1">
      <c r="A1417" s="254">
        <v>4076.0</v>
      </c>
      <c r="B1417" s="240" t="s">
        <v>29</v>
      </c>
      <c r="C1417" s="170"/>
      <c r="D1417" s="22">
        <v>0.0</v>
      </c>
      <c r="E1417" s="247">
        <f t="shared" si="225"/>
        <v>36</v>
      </c>
    </row>
    <row r="1418" ht="15.75" hidden="1" customHeight="1">
      <c r="A1418" s="254">
        <v>4078.0</v>
      </c>
      <c r="B1418" s="240" t="s">
        <v>30</v>
      </c>
      <c r="C1418" s="170"/>
      <c r="D1418" s="22">
        <v>0.0</v>
      </c>
      <c r="E1418" s="247">
        <f t="shared" si="225"/>
        <v>37</v>
      </c>
    </row>
    <row r="1419" ht="15.75" hidden="1" customHeight="1">
      <c r="A1419" s="219"/>
      <c r="B1419" s="257" t="s">
        <v>19</v>
      </c>
      <c r="C1419" s="175">
        <f t="shared" ref="C1419:D1419" si="226">SUM(C1413:C1418)</f>
        <v>0</v>
      </c>
      <c r="D1419" s="32">
        <f t="shared" si="226"/>
        <v>0</v>
      </c>
      <c r="E1419" s="247"/>
    </row>
    <row r="1420" ht="15.75" hidden="1" customHeight="1">
      <c r="A1420" s="220"/>
      <c r="B1420" s="256" t="s">
        <v>20</v>
      </c>
      <c r="C1420" s="258"/>
      <c r="D1420" s="32">
        <f>C1419-D1419</f>
        <v>0</v>
      </c>
      <c r="E1420" s="247"/>
    </row>
    <row r="1421" ht="15.75" customHeight="1">
      <c r="A1421" s="234">
        <v>172345.0</v>
      </c>
      <c r="B1421" s="208" t="s">
        <v>307</v>
      </c>
      <c r="C1421" s="87"/>
      <c r="D1421" s="85"/>
      <c r="E1421" s="77"/>
    </row>
    <row r="1422" ht="15.75" customHeight="1">
      <c r="A1422" s="254">
        <v>3023.0</v>
      </c>
      <c r="B1422" s="240" t="s">
        <v>76</v>
      </c>
      <c r="C1422" s="170">
        <f>15*1500</f>
        <v>22500</v>
      </c>
      <c r="D1422" s="22"/>
      <c r="E1422" s="247">
        <f>E1418+1</f>
        <v>38</v>
      </c>
    </row>
    <row r="1423" ht="15.75" customHeight="1">
      <c r="A1423" s="259">
        <v>4047.0</v>
      </c>
      <c r="B1423" s="260" t="s">
        <v>308</v>
      </c>
      <c r="C1423" s="170"/>
      <c r="D1423" s="29">
        <v>0.0</v>
      </c>
      <c r="E1423" s="247">
        <f>E1422+1</f>
        <v>39</v>
      </c>
    </row>
    <row r="1424" ht="15.75" customHeight="1">
      <c r="A1424" s="219"/>
      <c r="B1424" s="257" t="s">
        <v>19</v>
      </c>
      <c r="C1424" s="175">
        <f t="shared" ref="C1424:D1424" si="227">SUM(C1422:C1423)</f>
        <v>22500</v>
      </c>
      <c r="D1424" s="32">
        <f t="shared" si="227"/>
        <v>0</v>
      </c>
      <c r="E1424" s="247"/>
    </row>
    <row r="1425" ht="15.75" customHeight="1">
      <c r="A1425" s="220"/>
      <c r="B1425" s="256" t="s">
        <v>20</v>
      </c>
      <c r="C1425" s="258"/>
      <c r="D1425" s="32">
        <f>C1424-D1424</f>
        <v>22500</v>
      </c>
      <c r="E1425" s="247"/>
    </row>
    <row r="1426" ht="15.75" customHeight="1">
      <c r="A1426" s="243"/>
      <c r="B1426" s="208" t="s">
        <v>309</v>
      </c>
      <c r="C1426" s="261">
        <f t="shared" ref="C1426:D1426" si="228">C1398+C1388+C1379+C1410+C1419+C1424</f>
        <v>130450</v>
      </c>
      <c r="D1426" s="262">
        <f t="shared" si="228"/>
        <v>97370</v>
      </c>
      <c r="E1426" s="177"/>
    </row>
    <row r="1427" ht="15.75" customHeight="1">
      <c r="A1427" s="243"/>
      <c r="B1427" s="208" t="s">
        <v>310</v>
      </c>
      <c r="C1427" s="261"/>
      <c r="D1427" s="262">
        <f>C1426-D1426</f>
        <v>33080</v>
      </c>
      <c r="E1427" s="177"/>
    </row>
    <row r="1428" ht="15.75" customHeight="1">
      <c r="A1428" s="234">
        <v>172312.0</v>
      </c>
      <c r="B1428" s="208" t="s">
        <v>311</v>
      </c>
      <c r="C1428" s="75"/>
      <c r="D1428" s="85"/>
      <c r="E1428" s="177"/>
    </row>
    <row r="1429" ht="15.75" hidden="1" customHeight="1">
      <c r="A1429" s="62">
        <v>3010.0</v>
      </c>
      <c r="B1429" s="98" t="s">
        <v>2</v>
      </c>
      <c r="C1429" s="39">
        <v>0.0</v>
      </c>
      <c r="D1429" s="22"/>
      <c r="E1429" s="25"/>
    </row>
    <row r="1430" ht="15.75" hidden="1" customHeight="1">
      <c r="A1430" s="62">
        <v>4069.0</v>
      </c>
      <c r="B1430" s="98" t="s">
        <v>181</v>
      </c>
      <c r="C1430" s="39"/>
      <c r="D1430" s="22">
        <v>0.0</v>
      </c>
      <c r="E1430" s="25"/>
    </row>
    <row r="1431" ht="15.75" hidden="1" customHeight="1">
      <c r="A1431" s="62">
        <v>4076.0</v>
      </c>
      <c r="B1431" s="98" t="s">
        <v>29</v>
      </c>
      <c r="C1431" s="39"/>
      <c r="D1431" s="22">
        <v>0.0</v>
      </c>
      <c r="E1431" s="25"/>
    </row>
    <row r="1432" ht="15.75" hidden="1" customHeight="1">
      <c r="A1432" s="62">
        <v>5461.0</v>
      </c>
      <c r="B1432" s="137" t="s">
        <v>84</v>
      </c>
      <c r="C1432" s="39"/>
      <c r="D1432" s="22">
        <v>0.0</v>
      </c>
      <c r="E1432" s="25"/>
    </row>
    <row r="1433" ht="15.75" hidden="1" customHeight="1">
      <c r="A1433" s="62">
        <v>4190.0</v>
      </c>
      <c r="B1433" s="98" t="s">
        <v>32</v>
      </c>
      <c r="C1433" s="39"/>
      <c r="D1433" s="22">
        <v>0.0</v>
      </c>
      <c r="E1433" s="25"/>
    </row>
    <row r="1434" ht="15.75" hidden="1" customHeight="1">
      <c r="A1434" s="62"/>
      <c r="B1434" s="106" t="s">
        <v>19</v>
      </c>
      <c r="C1434" s="31">
        <f t="shared" ref="C1434:D1434" si="229">SUM(C1429:C1433)</f>
        <v>0</v>
      </c>
      <c r="D1434" s="32">
        <f t="shared" si="229"/>
        <v>0</v>
      </c>
      <c r="E1434" s="25"/>
    </row>
    <row r="1435" ht="15.75" hidden="1" customHeight="1">
      <c r="A1435" s="62"/>
      <c r="B1435" s="106"/>
      <c r="C1435" s="39"/>
      <c r="D1435" s="32">
        <f>C1434-D1434</f>
        <v>0</v>
      </c>
      <c r="E1435" s="25"/>
    </row>
    <row r="1436" ht="15.75" customHeight="1">
      <c r="A1436" s="234">
        <v>172313.0</v>
      </c>
      <c r="B1436" s="208" t="s">
        <v>312</v>
      </c>
      <c r="C1436" s="75"/>
      <c r="D1436" s="85"/>
      <c r="E1436" s="177"/>
    </row>
    <row r="1437" ht="15.75" customHeight="1">
      <c r="A1437" s="62">
        <v>3110.0</v>
      </c>
      <c r="B1437" s="98" t="s">
        <v>111</v>
      </c>
      <c r="C1437" s="39">
        <v>0.0</v>
      </c>
      <c r="D1437" s="22"/>
      <c r="E1437" s="25">
        <f>E1423+1</f>
        <v>40</v>
      </c>
    </row>
    <row r="1438" ht="15.75" customHeight="1">
      <c r="A1438" s="62">
        <v>4040.0</v>
      </c>
      <c r="B1438" s="98" t="s">
        <v>24</v>
      </c>
      <c r="C1438" s="39"/>
      <c r="D1438" s="22">
        <f>300</f>
        <v>300</v>
      </c>
      <c r="E1438" s="25">
        <f t="shared" ref="E1438:E1443" si="230">E1437+1</f>
        <v>41</v>
      </c>
    </row>
    <row r="1439" ht="15.75" customHeight="1">
      <c r="A1439" s="62">
        <v>4060.0</v>
      </c>
      <c r="B1439" s="98" t="s">
        <v>27</v>
      </c>
      <c r="C1439" s="39"/>
      <c r="D1439" s="22">
        <v>0.0</v>
      </c>
      <c r="E1439" s="25">
        <f t="shared" si="230"/>
        <v>42</v>
      </c>
    </row>
    <row r="1440" ht="15.75" customHeight="1">
      <c r="A1440" s="62">
        <v>4069.0</v>
      </c>
      <c r="B1440" s="98" t="s">
        <v>181</v>
      </c>
      <c r="C1440" s="39"/>
      <c r="D1440" s="22">
        <v>0.0</v>
      </c>
      <c r="E1440" s="25">
        <f t="shared" si="230"/>
        <v>43</v>
      </c>
    </row>
    <row r="1441" ht="15.75" customHeight="1">
      <c r="A1441" s="62">
        <v>4076.0</v>
      </c>
      <c r="B1441" s="98" t="s">
        <v>29</v>
      </c>
      <c r="C1441" s="39"/>
      <c r="D1441" s="22">
        <f>40*75*3</f>
        <v>9000</v>
      </c>
      <c r="E1441" s="25">
        <f t="shared" si="230"/>
        <v>44</v>
      </c>
    </row>
    <row r="1442" ht="15.75" customHeight="1">
      <c r="A1442" s="62">
        <v>4082.0</v>
      </c>
      <c r="B1442" s="98" t="s">
        <v>45</v>
      </c>
      <c r="C1442" s="39"/>
      <c r="D1442" s="22">
        <v>0.0</v>
      </c>
      <c r="E1442" s="25">
        <f t="shared" si="230"/>
        <v>45</v>
      </c>
    </row>
    <row r="1443" ht="15.75" customHeight="1">
      <c r="A1443" s="62">
        <v>4190.0</v>
      </c>
      <c r="B1443" s="98" t="s">
        <v>32</v>
      </c>
      <c r="C1443" s="39"/>
      <c r="D1443" s="22">
        <v>0.0</v>
      </c>
      <c r="E1443" s="25">
        <f t="shared" si="230"/>
        <v>46</v>
      </c>
    </row>
    <row r="1444" ht="15.75" customHeight="1">
      <c r="A1444" s="62"/>
      <c r="B1444" s="106" t="s">
        <v>19</v>
      </c>
      <c r="C1444" s="31">
        <f t="shared" ref="C1444:D1444" si="231">SUM(C1437:C1443)</f>
        <v>0</v>
      </c>
      <c r="D1444" s="32">
        <f t="shared" si="231"/>
        <v>9300</v>
      </c>
      <c r="E1444" s="25"/>
    </row>
    <row r="1445" ht="15.75" customHeight="1">
      <c r="A1445" s="101"/>
      <c r="B1445" s="136" t="s">
        <v>20</v>
      </c>
      <c r="C1445" s="53"/>
      <c r="D1445" s="32">
        <f>C1444-D1444</f>
        <v>-9300</v>
      </c>
      <c r="E1445" s="40"/>
    </row>
    <row r="1446" ht="15.75" customHeight="1">
      <c r="A1446" s="234">
        <v>172314.0</v>
      </c>
      <c r="B1446" s="208" t="s">
        <v>313</v>
      </c>
      <c r="C1446" s="75"/>
      <c r="D1446" s="85"/>
      <c r="E1446" s="177"/>
    </row>
    <row r="1447" ht="15.75" customHeight="1">
      <c r="A1447" s="62">
        <v>3110.0</v>
      </c>
      <c r="B1447" s="98" t="s">
        <v>111</v>
      </c>
      <c r="C1447" s="39">
        <f>20000*0.8</f>
        <v>16000</v>
      </c>
      <c r="D1447" s="22"/>
      <c r="E1447" s="25">
        <f>E1443+1</f>
        <v>47</v>
      </c>
    </row>
    <row r="1448" ht="15.75" customHeight="1">
      <c r="A1448" s="62">
        <v>3120.0</v>
      </c>
      <c r="B1448" s="98" t="s">
        <v>8</v>
      </c>
      <c r="C1448" s="39">
        <v>0.0</v>
      </c>
      <c r="D1448" s="22"/>
      <c r="E1448" s="25">
        <f t="shared" ref="E1448:E1449" si="232">E1447+1</f>
        <v>48</v>
      </c>
    </row>
    <row r="1449" ht="15.75" customHeight="1">
      <c r="A1449" s="62">
        <v>4010.0</v>
      </c>
      <c r="B1449" s="98" t="s">
        <v>48</v>
      </c>
      <c r="C1449" s="39"/>
      <c r="D1449" s="22">
        <v>0.0</v>
      </c>
      <c r="E1449" s="25">
        <f t="shared" si="232"/>
        <v>49</v>
      </c>
    </row>
    <row r="1450" ht="15.75" customHeight="1">
      <c r="A1450" s="62">
        <v>4047.0</v>
      </c>
      <c r="B1450" s="98" t="s">
        <v>14</v>
      </c>
      <c r="C1450" s="39"/>
      <c r="D1450" s="22">
        <v>2000.0</v>
      </c>
      <c r="E1450" s="25">
        <f>E1447+1</f>
        <v>48</v>
      </c>
    </row>
    <row r="1451" ht="15.75" customHeight="1">
      <c r="A1451" s="62">
        <v>4060.0</v>
      </c>
      <c r="B1451" s="98" t="s">
        <v>27</v>
      </c>
      <c r="C1451" s="39"/>
      <c r="D1451" s="22">
        <f>3*200+50*3</f>
        <v>750</v>
      </c>
      <c r="E1451" s="25">
        <f t="shared" ref="E1451:E1455" si="233">E1450+1</f>
        <v>49</v>
      </c>
    </row>
    <row r="1452" ht="15.75" customHeight="1">
      <c r="A1452" s="62">
        <v>4069.0</v>
      </c>
      <c r="B1452" s="98" t="s">
        <v>181</v>
      </c>
      <c r="C1452" s="39"/>
      <c r="D1452" s="22">
        <v>0.0</v>
      </c>
      <c r="E1452" s="25">
        <f t="shared" si="233"/>
        <v>50</v>
      </c>
    </row>
    <row r="1453" ht="15.75" customHeight="1">
      <c r="A1453" s="62">
        <v>4076.0</v>
      </c>
      <c r="B1453" s="98" t="s">
        <v>29</v>
      </c>
      <c r="C1453" s="39"/>
      <c r="D1453" s="22">
        <f>20*75*2+20*2*100</f>
        <v>7000</v>
      </c>
      <c r="E1453" s="25">
        <f t="shared" si="233"/>
        <v>51</v>
      </c>
    </row>
    <row r="1454" ht="15.75" customHeight="1">
      <c r="A1454" s="62">
        <v>4082.0</v>
      </c>
      <c r="B1454" s="98" t="s">
        <v>45</v>
      </c>
      <c r="C1454" s="39"/>
      <c r="D1454" s="22">
        <f>3*100</f>
        <v>300</v>
      </c>
      <c r="E1454" s="25">
        <f t="shared" si="233"/>
        <v>52</v>
      </c>
    </row>
    <row r="1455" ht="15.75" customHeight="1">
      <c r="A1455" s="62">
        <v>4190.0</v>
      </c>
      <c r="B1455" s="137" t="s">
        <v>32</v>
      </c>
      <c r="C1455" s="39"/>
      <c r="D1455" s="22">
        <f>3*200</f>
        <v>600</v>
      </c>
      <c r="E1455" s="25">
        <f t="shared" si="233"/>
        <v>53</v>
      </c>
    </row>
    <row r="1456" ht="15.75" customHeight="1">
      <c r="A1456" s="62"/>
      <c r="B1456" s="106" t="s">
        <v>19</v>
      </c>
      <c r="C1456" s="31">
        <f t="shared" ref="C1456:D1456" si="234">SUM(C1447:C1455)</f>
        <v>16000</v>
      </c>
      <c r="D1456" s="32">
        <f t="shared" si="234"/>
        <v>10650</v>
      </c>
      <c r="E1456" s="25"/>
    </row>
    <row r="1457" ht="15.75" customHeight="1">
      <c r="A1457" s="101"/>
      <c r="B1457" s="136" t="s">
        <v>20</v>
      </c>
      <c r="C1457" s="53"/>
      <c r="D1457" s="32">
        <f>C1456-D1456</f>
        <v>5350</v>
      </c>
      <c r="E1457" s="40"/>
    </row>
    <row r="1458" ht="15.75" customHeight="1">
      <c r="A1458" s="234">
        <v>172315.0</v>
      </c>
      <c r="B1458" s="208" t="s">
        <v>314</v>
      </c>
      <c r="C1458" s="75"/>
      <c r="D1458" s="85"/>
      <c r="E1458" s="177"/>
    </row>
    <row r="1459" ht="15.75" hidden="1" customHeight="1">
      <c r="A1459" s="123">
        <v>3010.0</v>
      </c>
      <c r="B1459" s="103" t="s">
        <v>2</v>
      </c>
      <c r="C1459" s="39">
        <v>0.0</v>
      </c>
      <c r="D1459" s="22"/>
      <c r="E1459" s="25"/>
    </row>
    <row r="1460" ht="15.75" hidden="1" customHeight="1">
      <c r="A1460" s="123">
        <v>3023.0</v>
      </c>
      <c r="B1460" s="103" t="s">
        <v>76</v>
      </c>
      <c r="C1460" s="39">
        <v>0.0</v>
      </c>
      <c r="D1460" s="22"/>
      <c r="E1460" s="25"/>
    </row>
    <row r="1461" ht="15.75" hidden="1" customHeight="1">
      <c r="A1461" s="123">
        <v>3120.0</v>
      </c>
      <c r="B1461" s="103" t="s">
        <v>8</v>
      </c>
      <c r="C1461" s="39">
        <v>0.0</v>
      </c>
      <c r="D1461" s="22"/>
      <c r="E1461" s="25"/>
    </row>
    <row r="1462" ht="15.75" hidden="1" customHeight="1">
      <c r="A1462" s="123">
        <v>4010.0</v>
      </c>
      <c r="B1462" s="103" t="s">
        <v>48</v>
      </c>
      <c r="C1462" s="39"/>
      <c r="D1462" s="22">
        <v>0.0</v>
      </c>
      <c r="E1462" s="25"/>
    </row>
    <row r="1463" ht="15.75" hidden="1" customHeight="1">
      <c r="A1463" s="123">
        <v>4047.0</v>
      </c>
      <c r="B1463" s="103" t="s">
        <v>14</v>
      </c>
      <c r="C1463" s="39"/>
      <c r="D1463" s="22">
        <v>0.0</v>
      </c>
      <c r="E1463" s="25"/>
    </row>
    <row r="1464" ht="15.75" hidden="1" customHeight="1">
      <c r="A1464" s="123">
        <v>4063.0</v>
      </c>
      <c r="B1464" s="103" t="s">
        <v>70</v>
      </c>
      <c r="C1464" s="39"/>
      <c r="D1464" s="22">
        <v>0.0</v>
      </c>
      <c r="E1464" s="25"/>
    </row>
    <row r="1465" ht="15.75" hidden="1" customHeight="1">
      <c r="A1465" s="123">
        <v>4069.0</v>
      </c>
      <c r="B1465" s="103" t="s">
        <v>181</v>
      </c>
      <c r="C1465" s="39"/>
      <c r="D1465" s="22">
        <v>0.0</v>
      </c>
      <c r="E1465" s="25"/>
    </row>
    <row r="1466" ht="15.75" hidden="1" customHeight="1">
      <c r="A1466" s="123">
        <v>4076.0</v>
      </c>
      <c r="B1466" s="103" t="s">
        <v>29</v>
      </c>
      <c r="C1466" s="39"/>
      <c r="D1466" s="22">
        <v>0.0</v>
      </c>
      <c r="E1466" s="25"/>
    </row>
    <row r="1467" ht="15.75" hidden="1" customHeight="1">
      <c r="A1467" s="123">
        <v>4078.0</v>
      </c>
      <c r="B1467" s="103" t="s">
        <v>30</v>
      </c>
      <c r="C1467" s="39"/>
      <c r="D1467" s="22">
        <v>0.0</v>
      </c>
      <c r="E1467" s="25"/>
    </row>
    <row r="1468" ht="15.75" hidden="1" customHeight="1">
      <c r="A1468" s="123">
        <v>4190.0</v>
      </c>
      <c r="B1468" s="103" t="s">
        <v>32</v>
      </c>
      <c r="C1468" s="39"/>
      <c r="D1468" s="22">
        <v>0.0</v>
      </c>
      <c r="E1468" s="25"/>
    </row>
    <row r="1469" ht="15.75" hidden="1" customHeight="1">
      <c r="A1469" s="123">
        <v>5010.0</v>
      </c>
      <c r="B1469" s="103" t="s">
        <v>61</v>
      </c>
      <c r="C1469" s="39"/>
      <c r="D1469" s="22">
        <v>0.0</v>
      </c>
      <c r="E1469" s="25"/>
    </row>
    <row r="1470" ht="15.75" hidden="1" customHeight="1">
      <c r="A1470" s="123">
        <v>5061.0</v>
      </c>
      <c r="B1470" s="103" t="s">
        <v>82</v>
      </c>
      <c r="C1470" s="39"/>
      <c r="D1470" s="22">
        <v>0.0</v>
      </c>
      <c r="E1470" s="25"/>
    </row>
    <row r="1471" ht="15.75" hidden="1" customHeight="1">
      <c r="A1471" s="123">
        <v>5710.0</v>
      </c>
      <c r="B1471" s="103" t="s">
        <v>143</v>
      </c>
      <c r="C1471" s="39"/>
      <c r="D1471" s="22">
        <v>0.0</v>
      </c>
      <c r="E1471" s="25"/>
    </row>
    <row r="1472" ht="15.75" hidden="1" customHeight="1">
      <c r="A1472" s="123">
        <v>5830.0</v>
      </c>
      <c r="B1472" s="103" t="s">
        <v>177</v>
      </c>
      <c r="C1472" s="39"/>
      <c r="D1472" s="22">
        <v>0.0</v>
      </c>
      <c r="E1472" s="25"/>
    </row>
    <row r="1473" ht="15.75" hidden="1" customHeight="1">
      <c r="A1473" s="123">
        <v>6211.0</v>
      </c>
      <c r="B1473" s="103" t="s">
        <v>73</v>
      </c>
      <c r="C1473" s="39"/>
      <c r="D1473" s="22">
        <v>0.0</v>
      </c>
      <c r="E1473" s="25"/>
    </row>
    <row r="1474" ht="15.75" hidden="1" customHeight="1">
      <c r="A1474" s="123">
        <v>6550.0</v>
      </c>
      <c r="B1474" s="103" t="s">
        <v>136</v>
      </c>
      <c r="C1474" s="39"/>
      <c r="D1474" s="22">
        <v>0.0</v>
      </c>
      <c r="E1474" s="25"/>
    </row>
    <row r="1475" ht="15.75" hidden="1" customHeight="1">
      <c r="A1475" s="101"/>
      <c r="B1475" s="180" t="s">
        <v>19</v>
      </c>
      <c r="C1475" s="31">
        <f t="shared" ref="C1475:D1475" si="235">SUM(C1459:C1474)</f>
        <v>0</v>
      </c>
      <c r="D1475" s="32">
        <f t="shared" si="235"/>
        <v>0</v>
      </c>
      <c r="E1475" s="25"/>
    </row>
    <row r="1476" ht="15.75" hidden="1" customHeight="1">
      <c r="A1476" s="101"/>
      <c r="B1476" s="106" t="s">
        <v>20</v>
      </c>
      <c r="C1476" s="39"/>
      <c r="D1476" s="32">
        <f>C1475-D1475</f>
        <v>0</v>
      </c>
      <c r="E1476" s="25"/>
    </row>
    <row r="1477" ht="15.75" customHeight="1">
      <c r="A1477" s="234">
        <v>172317.0</v>
      </c>
      <c r="B1477" s="208" t="s">
        <v>315</v>
      </c>
      <c r="C1477" s="75"/>
      <c r="D1477" s="85"/>
      <c r="E1477" s="177"/>
    </row>
    <row r="1478" ht="15.75" hidden="1" customHeight="1">
      <c r="A1478" s="62">
        <v>3110.0</v>
      </c>
      <c r="B1478" s="98" t="s">
        <v>111</v>
      </c>
      <c r="C1478" s="39">
        <v>0.0</v>
      </c>
      <c r="D1478" s="22"/>
      <c r="E1478" s="25">
        <f>E1455+1</f>
        <v>54</v>
      </c>
    </row>
    <row r="1479" ht="15.75" hidden="1" customHeight="1">
      <c r="A1479" s="101">
        <v>4060.0</v>
      </c>
      <c r="B1479" s="98" t="s">
        <v>27</v>
      </c>
      <c r="C1479" s="39"/>
      <c r="D1479" s="29">
        <v>0.0</v>
      </c>
      <c r="E1479" s="25">
        <f>E1478+1</f>
        <v>55</v>
      </c>
    </row>
    <row r="1480" ht="15.75" hidden="1" customHeight="1">
      <c r="A1480" s="101">
        <v>4075.0</v>
      </c>
      <c r="B1480" s="98" t="s">
        <v>43</v>
      </c>
      <c r="C1480" s="39"/>
      <c r="D1480" s="22">
        <v>0.0</v>
      </c>
      <c r="E1480" s="25">
        <f>E1478+1</f>
        <v>55</v>
      </c>
    </row>
    <row r="1481" ht="15.75" hidden="1" customHeight="1">
      <c r="A1481" s="101">
        <v>4076.0</v>
      </c>
      <c r="B1481" s="98" t="s">
        <v>29</v>
      </c>
      <c r="C1481" s="39"/>
      <c r="D1481" s="29">
        <v>0.0</v>
      </c>
      <c r="E1481" s="25">
        <f t="shared" ref="E1481:E1483" si="236">E1480+1</f>
        <v>56</v>
      </c>
    </row>
    <row r="1482" ht="15.75" hidden="1" customHeight="1">
      <c r="A1482" s="101">
        <v>4082.0</v>
      </c>
      <c r="B1482" s="98" t="s">
        <v>45</v>
      </c>
      <c r="C1482" s="39"/>
      <c r="D1482" s="29">
        <v>0.0</v>
      </c>
      <c r="E1482" s="25">
        <f t="shared" si="236"/>
        <v>57</v>
      </c>
    </row>
    <row r="1483" ht="15.75" hidden="1" customHeight="1">
      <c r="A1483" s="101">
        <v>4190.0</v>
      </c>
      <c r="B1483" s="98" t="s">
        <v>32</v>
      </c>
      <c r="C1483" s="39"/>
      <c r="D1483" s="29">
        <v>0.0</v>
      </c>
      <c r="E1483" s="25">
        <f t="shared" si="236"/>
        <v>58</v>
      </c>
    </row>
    <row r="1484" ht="15.75" hidden="1" customHeight="1">
      <c r="A1484" s="101"/>
      <c r="B1484" s="136" t="s">
        <v>19</v>
      </c>
      <c r="C1484" s="166">
        <f t="shared" ref="C1484:D1484" si="237">SUM(C1478:C1483)</f>
        <v>0</v>
      </c>
      <c r="D1484" s="32">
        <f t="shared" si="237"/>
        <v>0</v>
      </c>
      <c r="E1484" s="40"/>
    </row>
    <row r="1485" ht="15.75" hidden="1" customHeight="1">
      <c r="A1485" s="101"/>
      <c r="B1485" s="136" t="s">
        <v>247</v>
      </c>
      <c r="C1485" s="166"/>
      <c r="D1485" s="32">
        <f>C1484-D1484</f>
        <v>0</v>
      </c>
      <c r="E1485" s="40"/>
    </row>
    <row r="1486" ht="15.75" customHeight="1">
      <c r="A1486" s="234">
        <v>172323.0</v>
      </c>
      <c r="B1486" s="208" t="s">
        <v>316</v>
      </c>
      <c r="C1486" s="75"/>
      <c r="D1486" s="85"/>
      <c r="E1486" s="177"/>
    </row>
    <row r="1487" ht="15.75" customHeight="1">
      <c r="A1487" s="163">
        <v>3110.0</v>
      </c>
      <c r="B1487" s="127" t="s">
        <v>111</v>
      </c>
      <c r="C1487" s="68">
        <v>12000.0</v>
      </c>
      <c r="D1487" s="22"/>
      <c r="E1487" s="25">
        <f>E1483+1</f>
        <v>59</v>
      </c>
    </row>
    <row r="1488" ht="15.75" customHeight="1">
      <c r="A1488" s="101">
        <v>4047.0</v>
      </c>
      <c r="B1488" s="98" t="s">
        <v>14</v>
      </c>
      <c r="C1488" s="39"/>
      <c r="D1488" s="29">
        <v>600.0</v>
      </c>
      <c r="E1488" s="25">
        <f t="shared" ref="E1488:E1493" si="238">E1487+1</f>
        <v>60</v>
      </c>
    </row>
    <row r="1489" ht="15.75" customHeight="1">
      <c r="A1489" s="101">
        <v>4060.0</v>
      </c>
      <c r="B1489" s="98" t="s">
        <v>27</v>
      </c>
      <c r="C1489" s="39"/>
      <c r="D1489" s="29">
        <v>750.0</v>
      </c>
      <c r="E1489" s="25">
        <f t="shared" si="238"/>
        <v>61</v>
      </c>
    </row>
    <row r="1490" ht="15.75" customHeight="1">
      <c r="A1490" s="101">
        <v>4063.0</v>
      </c>
      <c r="B1490" s="98" t="s">
        <v>70</v>
      </c>
      <c r="C1490" s="39"/>
      <c r="D1490" s="29">
        <v>0.0</v>
      </c>
      <c r="E1490" s="25">
        <f t="shared" si="238"/>
        <v>62</v>
      </c>
    </row>
    <row r="1491" ht="15.75" customHeight="1">
      <c r="A1491" s="101">
        <v>4076.0</v>
      </c>
      <c r="B1491" s="98" t="s">
        <v>29</v>
      </c>
      <c r="C1491" s="39"/>
      <c r="D1491" s="29">
        <f>30*85*2</f>
        <v>5100</v>
      </c>
      <c r="E1491" s="25">
        <f t="shared" si="238"/>
        <v>63</v>
      </c>
    </row>
    <row r="1492" ht="15.75" customHeight="1">
      <c r="A1492" s="101">
        <v>4082.0</v>
      </c>
      <c r="B1492" s="98" t="s">
        <v>45</v>
      </c>
      <c r="C1492" s="39"/>
      <c r="D1492" s="22">
        <v>0.0</v>
      </c>
      <c r="E1492" s="25">
        <f t="shared" si="238"/>
        <v>64</v>
      </c>
    </row>
    <row r="1493" ht="15.75" customHeight="1">
      <c r="A1493" s="101">
        <v>4190.0</v>
      </c>
      <c r="B1493" s="98" t="s">
        <v>32</v>
      </c>
      <c r="C1493" s="39"/>
      <c r="D1493" s="29">
        <v>1200.0</v>
      </c>
      <c r="E1493" s="25">
        <f t="shared" si="238"/>
        <v>65</v>
      </c>
    </row>
    <row r="1494" ht="15.75" customHeight="1">
      <c r="A1494" s="101"/>
      <c r="B1494" s="136" t="s">
        <v>19</v>
      </c>
      <c r="C1494" s="31">
        <f t="shared" ref="C1494:D1494" si="239">SUM(C1487:C1493)</f>
        <v>12000</v>
      </c>
      <c r="D1494" s="32">
        <f t="shared" si="239"/>
        <v>7650</v>
      </c>
      <c r="E1494" s="40"/>
    </row>
    <row r="1495" ht="15.75" customHeight="1">
      <c r="A1495" s="101"/>
      <c r="B1495" s="136" t="s">
        <v>20</v>
      </c>
      <c r="C1495" s="39"/>
      <c r="D1495" s="32">
        <f>C1494-D1494</f>
        <v>4350</v>
      </c>
      <c r="E1495" s="40"/>
    </row>
    <row r="1496" ht="15.75" hidden="1" customHeight="1">
      <c r="A1496" s="234">
        <v>172120.0</v>
      </c>
      <c r="B1496" s="263" t="s">
        <v>317</v>
      </c>
      <c r="C1496" s="264"/>
      <c r="D1496" s="265"/>
      <c r="E1496" s="177"/>
    </row>
    <row r="1497" ht="15.75" hidden="1" customHeight="1">
      <c r="A1497" s="243">
        <v>3110.0</v>
      </c>
      <c r="B1497" s="263" t="s">
        <v>111</v>
      </c>
      <c r="C1497" s="266">
        <v>0.0</v>
      </c>
      <c r="D1497" s="265"/>
      <c r="E1497" s="177"/>
    </row>
    <row r="1498" ht="15.75" hidden="1" customHeight="1">
      <c r="A1498" s="243">
        <v>4010.0</v>
      </c>
      <c r="B1498" s="263" t="s">
        <v>48</v>
      </c>
      <c r="C1498" s="266"/>
      <c r="D1498" s="267">
        <v>0.0</v>
      </c>
      <c r="E1498" s="177"/>
    </row>
    <row r="1499" ht="15.75" hidden="1" customHeight="1">
      <c r="A1499" s="243"/>
      <c r="B1499" s="263" t="s">
        <v>19</v>
      </c>
      <c r="C1499" s="266">
        <f t="shared" ref="C1499:D1499" si="240">SUM(C1497:C1498)</f>
        <v>0</v>
      </c>
      <c r="D1499" s="267">
        <f t="shared" si="240"/>
        <v>0</v>
      </c>
      <c r="E1499" s="177"/>
    </row>
    <row r="1500" ht="15.75" hidden="1" customHeight="1">
      <c r="A1500" s="243"/>
      <c r="B1500" s="263" t="s">
        <v>20</v>
      </c>
      <c r="C1500" s="266"/>
      <c r="D1500" s="267">
        <f>C1499-D1499</f>
        <v>0</v>
      </c>
      <c r="E1500" s="177"/>
    </row>
    <row r="1501" ht="15.75" hidden="1" customHeight="1">
      <c r="A1501" s="234">
        <v>172118.0</v>
      </c>
      <c r="B1501" s="263" t="s">
        <v>318</v>
      </c>
      <c r="C1501" s="264">
        <v>0.0</v>
      </c>
      <c r="D1501" s="267">
        <v>0.0</v>
      </c>
      <c r="E1501" s="177"/>
    </row>
    <row r="1502" ht="15.75" hidden="1" customHeight="1">
      <c r="A1502" s="243">
        <v>3010.0</v>
      </c>
      <c r="B1502" s="263" t="s">
        <v>2</v>
      </c>
      <c r="C1502" s="266">
        <v>0.0</v>
      </c>
      <c r="D1502" s="265"/>
      <c r="E1502" s="177"/>
    </row>
    <row r="1503" ht="15.75" hidden="1" customHeight="1">
      <c r="A1503" s="243">
        <v>4069.0</v>
      </c>
      <c r="B1503" s="263" t="s">
        <v>181</v>
      </c>
      <c r="C1503" s="266"/>
      <c r="D1503" s="267">
        <v>0.0</v>
      </c>
      <c r="E1503" s="177"/>
    </row>
    <row r="1504" ht="15.75" hidden="1" customHeight="1">
      <c r="A1504" s="243">
        <v>4076.0</v>
      </c>
      <c r="B1504" s="263" t="s">
        <v>29</v>
      </c>
      <c r="C1504" s="266"/>
      <c r="D1504" s="267">
        <v>0.0</v>
      </c>
      <c r="E1504" s="177"/>
    </row>
    <row r="1505" ht="15.75" hidden="1" customHeight="1">
      <c r="A1505" s="243">
        <v>4190.0</v>
      </c>
      <c r="B1505" s="263" t="s">
        <v>32</v>
      </c>
      <c r="C1505" s="266"/>
      <c r="D1505" s="267">
        <v>0.0</v>
      </c>
      <c r="E1505" s="177"/>
    </row>
    <row r="1506" ht="15.75" hidden="1" customHeight="1">
      <c r="A1506" s="243">
        <v>5461.0</v>
      </c>
      <c r="B1506" s="263" t="s">
        <v>84</v>
      </c>
      <c r="C1506" s="266"/>
      <c r="D1506" s="267">
        <v>0.0</v>
      </c>
      <c r="E1506" s="177"/>
    </row>
    <row r="1507" ht="15.75" hidden="1" customHeight="1">
      <c r="A1507" s="243"/>
      <c r="B1507" s="263" t="s">
        <v>19</v>
      </c>
      <c r="C1507" s="266">
        <f t="shared" ref="C1507:D1507" si="241">SUM(C1502:C1506)</f>
        <v>0</v>
      </c>
      <c r="D1507" s="267">
        <f t="shared" si="241"/>
        <v>0</v>
      </c>
      <c r="E1507" s="177"/>
    </row>
    <row r="1508" ht="15.75" hidden="1" customHeight="1">
      <c r="A1508" s="243"/>
      <c r="B1508" s="263" t="s">
        <v>20</v>
      </c>
      <c r="C1508" s="266"/>
      <c r="D1508" s="267">
        <f>C1507-D1507</f>
        <v>0</v>
      </c>
      <c r="E1508" s="177"/>
    </row>
    <row r="1509" ht="15.75" hidden="1" customHeight="1">
      <c r="A1509" s="234">
        <v>172118.0</v>
      </c>
      <c r="B1509" s="263" t="s">
        <v>319</v>
      </c>
      <c r="C1509" s="264"/>
      <c r="D1509" s="265"/>
      <c r="E1509" s="177"/>
    </row>
    <row r="1510" ht="15.75" hidden="1" customHeight="1">
      <c r="A1510" s="243">
        <v>3011.0</v>
      </c>
      <c r="B1510" s="263" t="s">
        <v>22</v>
      </c>
      <c r="C1510" s="266"/>
      <c r="D1510" s="265"/>
      <c r="E1510" s="177"/>
    </row>
    <row r="1511" ht="15.75" hidden="1" customHeight="1">
      <c r="A1511" s="243">
        <v>4010.0</v>
      </c>
      <c r="B1511" s="263" t="s">
        <v>48</v>
      </c>
      <c r="C1511" s="266"/>
      <c r="D1511" s="265"/>
      <c r="E1511" s="177"/>
    </row>
    <row r="1512" ht="15.75" hidden="1" customHeight="1">
      <c r="A1512" s="243"/>
      <c r="B1512" s="263" t="s">
        <v>19</v>
      </c>
      <c r="C1512" s="266">
        <f t="shared" ref="C1512:D1512" si="242">SUM(C1510:C1511)</f>
        <v>0</v>
      </c>
      <c r="D1512" s="267">
        <f t="shared" si="242"/>
        <v>0</v>
      </c>
      <c r="E1512" s="177"/>
    </row>
    <row r="1513" ht="15.75" hidden="1" customHeight="1">
      <c r="A1513" s="243"/>
      <c r="B1513" s="263" t="s">
        <v>20</v>
      </c>
      <c r="C1513" s="266"/>
      <c r="D1513" s="267">
        <f>C1512-D1512</f>
        <v>0</v>
      </c>
      <c r="E1513" s="177"/>
    </row>
    <row r="1514" ht="15.75" customHeight="1">
      <c r="A1514" s="234">
        <v>172319.0</v>
      </c>
      <c r="B1514" s="263" t="s">
        <v>320</v>
      </c>
      <c r="C1514" s="264"/>
      <c r="D1514" s="265"/>
      <c r="E1514" s="177"/>
    </row>
    <row r="1515" ht="15.75" hidden="1" customHeight="1">
      <c r="A1515" s="243">
        <v>4076.0</v>
      </c>
      <c r="B1515" s="263" t="s">
        <v>29</v>
      </c>
      <c r="C1515" s="266"/>
      <c r="D1515" s="265"/>
      <c r="E1515" s="177"/>
    </row>
    <row r="1516" ht="15.75" hidden="1" customHeight="1">
      <c r="A1516" s="243"/>
      <c r="B1516" s="263" t="s">
        <v>19</v>
      </c>
      <c r="C1516" s="266">
        <f t="shared" ref="C1516:D1516" si="243">SUM(C1515)</f>
        <v>0</v>
      </c>
      <c r="D1516" s="267">
        <f t="shared" si="243"/>
        <v>0</v>
      </c>
      <c r="E1516" s="177"/>
    </row>
    <row r="1517" ht="15.75" hidden="1" customHeight="1">
      <c r="A1517" s="243"/>
      <c r="B1517" s="263" t="s">
        <v>20</v>
      </c>
      <c r="C1517" s="266"/>
      <c r="D1517" s="267">
        <f>C1516-D1516</f>
        <v>0</v>
      </c>
      <c r="E1517" s="177"/>
    </row>
    <row r="1518" ht="15.75" customHeight="1">
      <c r="A1518" s="234">
        <v>172320.0</v>
      </c>
      <c r="B1518" s="263" t="s">
        <v>321</v>
      </c>
      <c r="C1518" s="264"/>
      <c r="D1518" s="265"/>
      <c r="E1518" s="177"/>
    </row>
    <row r="1519" ht="15.75" hidden="1" customHeight="1">
      <c r="A1519" s="243">
        <v>3110.0</v>
      </c>
      <c r="B1519" s="263" t="s">
        <v>111</v>
      </c>
      <c r="C1519" s="266"/>
      <c r="D1519" s="265"/>
      <c r="E1519" s="177"/>
    </row>
    <row r="1520" ht="15.75" hidden="1" customHeight="1">
      <c r="A1520" s="243">
        <v>3011.0</v>
      </c>
      <c r="B1520" s="263" t="s">
        <v>22</v>
      </c>
      <c r="C1520" s="266"/>
      <c r="D1520" s="265"/>
      <c r="E1520" s="177"/>
    </row>
    <row r="1521" ht="15.75" hidden="1" customHeight="1">
      <c r="A1521" s="243">
        <v>4060.0</v>
      </c>
      <c r="B1521" s="263" t="s">
        <v>27</v>
      </c>
      <c r="C1521" s="266"/>
      <c r="D1521" s="265"/>
      <c r="E1521" s="177"/>
    </row>
    <row r="1522" ht="15.75" hidden="1" customHeight="1">
      <c r="A1522" s="243">
        <v>4082.0</v>
      </c>
      <c r="B1522" s="263" t="s">
        <v>45</v>
      </c>
      <c r="C1522" s="266"/>
      <c r="D1522" s="265"/>
      <c r="E1522" s="177"/>
    </row>
    <row r="1523" ht="15.75" hidden="1" customHeight="1">
      <c r="A1523" s="243">
        <v>4190.0</v>
      </c>
      <c r="B1523" s="263" t="s">
        <v>32</v>
      </c>
      <c r="C1523" s="266"/>
      <c r="D1523" s="265"/>
      <c r="E1523" s="177"/>
    </row>
    <row r="1524" ht="15.75" hidden="1" customHeight="1">
      <c r="A1524" s="243">
        <v>5810.0</v>
      </c>
      <c r="B1524" s="263" t="s">
        <v>34</v>
      </c>
      <c r="C1524" s="266"/>
      <c r="D1524" s="265"/>
      <c r="E1524" s="177"/>
    </row>
    <row r="1525" ht="15.75" hidden="1" customHeight="1">
      <c r="A1525" s="243"/>
      <c r="B1525" s="263" t="s">
        <v>19</v>
      </c>
      <c r="C1525" s="266">
        <f t="shared" ref="C1525:D1525" si="244">SUM(C1519:C1524)</f>
        <v>0</v>
      </c>
      <c r="D1525" s="267">
        <f t="shared" si="244"/>
        <v>0</v>
      </c>
      <c r="E1525" s="177"/>
    </row>
    <row r="1526" ht="15.75" hidden="1" customHeight="1">
      <c r="A1526" s="243"/>
      <c r="B1526" s="263" t="s">
        <v>20</v>
      </c>
      <c r="C1526" s="266"/>
      <c r="D1526" s="267">
        <f>C1525-D1525</f>
        <v>0</v>
      </c>
      <c r="E1526" s="177"/>
    </row>
    <row r="1527" ht="15.75" customHeight="1">
      <c r="A1527" s="234">
        <v>172321.0</v>
      </c>
      <c r="B1527" s="263" t="s">
        <v>322</v>
      </c>
      <c r="C1527" s="264"/>
      <c r="D1527" s="265"/>
      <c r="E1527" s="177"/>
    </row>
    <row r="1528" ht="15.75" hidden="1" customHeight="1">
      <c r="A1528" s="243">
        <v>4010.0</v>
      </c>
      <c r="B1528" s="263" t="s">
        <v>48</v>
      </c>
      <c r="C1528" s="264"/>
      <c r="D1528" s="265"/>
      <c r="E1528" s="177"/>
    </row>
    <row r="1529" ht="15.75" hidden="1" customHeight="1">
      <c r="A1529" s="243">
        <v>4076.0</v>
      </c>
      <c r="B1529" s="263" t="s">
        <v>29</v>
      </c>
      <c r="C1529" s="264"/>
      <c r="D1529" s="265"/>
      <c r="E1529" s="177"/>
    </row>
    <row r="1530" ht="15.75" hidden="1" customHeight="1">
      <c r="A1530" s="243"/>
      <c r="B1530" s="263" t="s">
        <v>19</v>
      </c>
      <c r="C1530" s="264">
        <f t="shared" ref="C1530:D1530" si="245">SUM(C1528:C1529)</f>
        <v>0</v>
      </c>
      <c r="D1530" s="267">
        <f t="shared" si="245"/>
        <v>0</v>
      </c>
      <c r="E1530" s="177"/>
    </row>
    <row r="1531" ht="15.75" hidden="1" customHeight="1">
      <c r="A1531" s="243"/>
      <c r="B1531" s="263" t="s">
        <v>20</v>
      </c>
      <c r="C1531" s="264"/>
      <c r="D1531" s="267">
        <f>C1530-D1530</f>
        <v>0</v>
      </c>
      <c r="E1531" s="177"/>
    </row>
    <row r="1532" ht="15.75" customHeight="1">
      <c r="A1532" s="234">
        <v>172322.0</v>
      </c>
      <c r="B1532" s="268" t="s">
        <v>323</v>
      </c>
      <c r="C1532" s="264"/>
      <c r="D1532" s="265"/>
      <c r="E1532" s="177"/>
    </row>
    <row r="1533" ht="15.75" hidden="1" customHeight="1">
      <c r="A1533" s="62">
        <v>3110.0</v>
      </c>
      <c r="B1533" s="98" t="s">
        <v>111</v>
      </c>
      <c r="C1533" s="68">
        <v>0.0</v>
      </c>
      <c r="D1533" s="22"/>
      <c r="E1533" s="25">
        <v>47.0</v>
      </c>
    </row>
    <row r="1534" ht="15.75" hidden="1" customHeight="1">
      <c r="A1534" s="62">
        <v>3030.0</v>
      </c>
      <c r="B1534" s="100" t="s">
        <v>117</v>
      </c>
      <c r="C1534" s="39"/>
      <c r="D1534" s="22"/>
      <c r="E1534" s="25"/>
    </row>
    <row r="1535" ht="15.75" hidden="1" customHeight="1">
      <c r="A1535" s="62">
        <v>4012.0</v>
      </c>
      <c r="B1535" s="100" t="s">
        <v>118</v>
      </c>
      <c r="C1535" s="39"/>
      <c r="D1535" s="22"/>
      <c r="E1535" s="40"/>
    </row>
    <row r="1536" ht="15.75" hidden="1" customHeight="1">
      <c r="A1536" s="62">
        <v>4040.0</v>
      </c>
      <c r="B1536" s="100" t="s">
        <v>24</v>
      </c>
      <c r="C1536" s="39"/>
      <c r="D1536" s="29">
        <v>0.0</v>
      </c>
      <c r="E1536" s="40">
        <v>48.0</v>
      </c>
    </row>
    <row r="1537" ht="15.75" hidden="1" customHeight="1">
      <c r="A1537" s="108">
        <v>4060.0</v>
      </c>
      <c r="B1537" s="104" t="s">
        <v>27</v>
      </c>
      <c r="C1537" s="39"/>
      <c r="D1537" s="29">
        <v>0.0</v>
      </c>
      <c r="E1537" s="25">
        <v>49.0</v>
      </c>
    </row>
    <row r="1538" ht="15.75" hidden="1" customHeight="1">
      <c r="A1538" s="108">
        <v>4063.0</v>
      </c>
      <c r="B1538" s="104" t="s">
        <v>70</v>
      </c>
      <c r="C1538" s="39"/>
      <c r="D1538" s="22">
        <v>0.0</v>
      </c>
      <c r="E1538" s="25">
        <v>50.0</v>
      </c>
    </row>
    <row r="1539" ht="15.75" hidden="1" customHeight="1">
      <c r="A1539" s="62">
        <v>4076.0</v>
      </c>
      <c r="B1539" s="100" t="s">
        <v>29</v>
      </c>
      <c r="C1539" s="39"/>
      <c r="D1539" s="29">
        <v>0.0</v>
      </c>
      <c r="E1539" s="40">
        <v>51.0</v>
      </c>
    </row>
    <row r="1540" ht="15.75" hidden="1" customHeight="1">
      <c r="A1540" s="108">
        <v>4082.0</v>
      </c>
      <c r="B1540" s="104" t="s">
        <v>45</v>
      </c>
      <c r="C1540" s="39"/>
      <c r="D1540" s="29">
        <v>0.0</v>
      </c>
      <c r="E1540" s="40">
        <v>52.0</v>
      </c>
    </row>
    <row r="1541" ht="15.75" hidden="1" customHeight="1">
      <c r="A1541" s="108">
        <v>4190.0</v>
      </c>
      <c r="B1541" s="104" t="s">
        <v>32</v>
      </c>
      <c r="C1541" s="39"/>
      <c r="D1541" s="29">
        <v>0.0</v>
      </c>
      <c r="E1541" s="40">
        <v>53.0</v>
      </c>
    </row>
    <row r="1542" ht="15.75" hidden="1" customHeight="1">
      <c r="A1542" s="62"/>
      <c r="B1542" s="106" t="s">
        <v>19</v>
      </c>
      <c r="C1542" s="31">
        <f>SUM(C1533:C1541)</f>
        <v>0</v>
      </c>
      <c r="D1542" s="32">
        <f>SUM(D1536:D1541)</f>
        <v>0</v>
      </c>
      <c r="E1542" s="25"/>
    </row>
    <row r="1543" ht="15.75" hidden="1" customHeight="1">
      <c r="A1543" s="101"/>
      <c r="B1543" s="136" t="s">
        <v>20</v>
      </c>
      <c r="C1543" s="39"/>
      <c r="D1543" s="32">
        <f>C1542-D1542</f>
        <v>0</v>
      </c>
      <c r="E1543" s="40"/>
    </row>
    <row r="1544" ht="15.75" customHeight="1">
      <c r="A1544" s="10"/>
      <c r="B1544" s="60" t="s">
        <v>324</v>
      </c>
      <c r="C1544" s="269">
        <f>C1516+C1512+C1499+C1484+C1475+C1456+C1444+C1379+C1351+C1318+C1276+C1253+C1242+C1233+C1226+C1221+C1207+C1328+C1525+C1388+C1398+C11177+C1424+C1419+C1410+C1285+C1494+C1542+C1295</f>
        <v>4598600</v>
      </c>
      <c r="D1544" s="61">
        <f>D1516+D1512+D1499+D1484+D1475+D1456+D1444+D1379+D1351+D1318+D1276+D1253+D1242+D1233+D1226+D1221+D1207+D1328+D1525+D1388+D1398+D1285+D1410+D1419+D1424+D1494+D1542+D1295</f>
        <v>1154192.105</v>
      </c>
      <c r="E1544" s="270"/>
    </row>
    <row r="1545" ht="15.75" customHeight="1">
      <c r="A1545" s="10"/>
      <c r="B1545" s="60" t="s">
        <v>325</v>
      </c>
      <c r="C1545" s="41"/>
      <c r="D1545" s="61">
        <f>C1544-D1544</f>
        <v>3444407.895</v>
      </c>
      <c r="E1545" s="270"/>
    </row>
    <row r="1546" ht="15.75" customHeight="1">
      <c r="A1546" s="62"/>
      <c r="B1546" s="106"/>
      <c r="C1546" s="64"/>
      <c r="D1546" s="65"/>
      <c r="E1546" s="25"/>
    </row>
    <row r="1547" ht="15.75" customHeight="1">
      <c r="A1547" s="62"/>
      <c r="B1547" s="106"/>
      <c r="C1547" s="64"/>
      <c r="D1547" s="65"/>
      <c r="E1547" s="25"/>
    </row>
    <row r="1548" ht="15.75" customHeight="1">
      <c r="A1548" s="6"/>
      <c r="B1548" s="15" t="s">
        <v>326</v>
      </c>
      <c r="C1548" s="16" t="s">
        <v>6</v>
      </c>
      <c r="D1548" s="5"/>
      <c r="E1548" s="9"/>
    </row>
    <row r="1549" ht="15.75" customHeight="1">
      <c r="A1549" s="97">
        <v>182300.0</v>
      </c>
      <c r="B1549" s="271" t="s">
        <v>327</v>
      </c>
      <c r="C1549" s="12" t="s">
        <v>2</v>
      </c>
      <c r="D1549" s="13" t="s">
        <v>3</v>
      </c>
      <c r="E1549" s="14" t="s">
        <v>4</v>
      </c>
    </row>
    <row r="1550" ht="15.75" customHeight="1">
      <c r="A1550" s="62">
        <v>3110.0</v>
      </c>
      <c r="B1550" s="102" t="s">
        <v>111</v>
      </c>
      <c r="C1550" s="39">
        <f>80000*0.8</f>
        <v>64000</v>
      </c>
      <c r="D1550" s="22"/>
      <c r="E1550" s="25">
        <v>1.0</v>
      </c>
    </row>
    <row r="1551" ht="15.75" customHeight="1">
      <c r="A1551" s="101">
        <v>3011.0</v>
      </c>
      <c r="B1551" s="102" t="s">
        <v>22</v>
      </c>
      <c r="C1551" s="39">
        <v>0.0</v>
      </c>
      <c r="D1551" s="22"/>
      <c r="E1551" s="25">
        <f t="shared" ref="E1551:E1552" si="246">E1550+1</f>
        <v>2</v>
      </c>
    </row>
    <row r="1552" ht="15.75" customHeight="1">
      <c r="A1552" s="101">
        <v>3030.0</v>
      </c>
      <c r="B1552" s="102" t="s">
        <v>117</v>
      </c>
      <c r="C1552" s="39">
        <v>0.0</v>
      </c>
      <c r="D1552" s="22"/>
      <c r="E1552" s="25">
        <f t="shared" si="246"/>
        <v>3</v>
      </c>
    </row>
    <row r="1553" ht="15.75" customHeight="1">
      <c r="A1553" s="101">
        <v>4010.0</v>
      </c>
      <c r="B1553" s="102" t="s">
        <v>48</v>
      </c>
      <c r="C1553" s="39"/>
      <c r="D1553" s="22">
        <v>0.0</v>
      </c>
      <c r="E1553" s="25">
        <v>4.0</v>
      </c>
    </row>
    <row r="1554" ht="15.75" customHeight="1">
      <c r="A1554" s="101">
        <v>4012.0</v>
      </c>
      <c r="B1554" s="102" t="s">
        <v>118</v>
      </c>
      <c r="C1554" s="39"/>
      <c r="D1554" s="22">
        <v>0.0</v>
      </c>
      <c r="E1554" s="25">
        <v>6.0</v>
      </c>
    </row>
    <row r="1555" ht="15.75" customHeight="1">
      <c r="A1555" s="101">
        <v>4040.0</v>
      </c>
      <c r="B1555" s="102" t="s">
        <v>24</v>
      </c>
      <c r="C1555" s="39"/>
      <c r="D1555" s="22">
        <v>0.0</v>
      </c>
      <c r="E1555" s="25">
        <v>7.0</v>
      </c>
    </row>
    <row r="1556" ht="15.75" customHeight="1">
      <c r="A1556" s="101">
        <v>4042.0</v>
      </c>
      <c r="B1556" s="100" t="s">
        <v>67</v>
      </c>
      <c r="C1556" s="39"/>
      <c r="D1556" s="22">
        <v>1000.0</v>
      </c>
      <c r="E1556" s="25">
        <v>8.0</v>
      </c>
    </row>
    <row r="1557" ht="15.75" customHeight="1">
      <c r="A1557" s="101">
        <v>4047.0</v>
      </c>
      <c r="B1557" s="100" t="s">
        <v>14</v>
      </c>
      <c r="C1557" s="39"/>
      <c r="D1557" s="22">
        <v>0.0</v>
      </c>
      <c r="E1557" s="25">
        <v>9.0</v>
      </c>
    </row>
    <row r="1558" ht="15.75" customHeight="1">
      <c r="A1558" s="99">
        <v>4050.0</v>
      </c>
      <c r="B1558" s="100" t="s">
        <v>42</v>
      </c>
      <c r="C1558" s="39"/>
      <c r="D1558" s="22">
        <f>sumif($A$1550:$A$2095,"=4190",D1550:D2095)*0.3</f>
        <v>14070</v>
      </c>
      <c r="E1558" s="25">
        <f t="shared" ref="E1558:E1573" si="247">E1557+1</f>
        <v>10</v>
      </c>
    </row>
    <row r="1559" ht="15.75" customHeight="1">
      <c r="A1559" s="101">
        <v>4060.0</v>
      </c>
      <c r="B1559" s="100" t="s">
        <v>27</v>
      </c>
      <c r="C1559" s="39"/>
      <c r="D1559" s="22">
        <f>(550+200)*7+7*80+200+2*200+50*10</f>
        <v>6910</v>
      </c>
      <c r="E1559" s="25">
        <f t="shared" si="247"/>
        <v>11</v>
      </c>
    </row>
    <row r="1560" ht="15.75" customHeight="1">
      <c r="A1560" s="101">
        <v>4063.0</v>
      </c>
      <c r="B1560" s="102" t="s">
        <v>70</v>
      </c>
      <c r="C1560" s="39"/>
      <c r="D1560" s="29">
        <v>1500.0</v>
      </c>
      <c r="E1560" s="25">
        <f t="shared" si="247"/>
        <v>12</v>
      </c>
    </row>
    <row r="1561" ht="15.75" customHeight="1">
      <c r="A1561" s="101">
        <v>4065.0</v>
      </c>
      <c r="B1561" s="102" t="s">
        <v>16</v>
      </c>
      <c r="C1561" s="39"/>
      <c r="D1561" s="22">
        <v>1000.0</v>
      </c>
      <c r="E1561" s="25">
        <f t="shared" si="247"/>
        <v>13</v>
      </c>
    </row>
    <row r="1562" ht="15.75" customHeight="1">
      <c r="A1562" s="101">
        <v>4066.0</v>
      </c>
      <c r="B1562" s="102" t="s">
        <v>236</v>
      </c>
      <c r="C1562" s="39"/>
      <c r="D1562" s="22">
        <v>0.0</v>
      </c>
      <c r="E1562" s="25">
        <f t="shared" si="247"/>
        <v>14</v>
      </c>
    </row>
    <row r="1563" ht="15.75" customHeight="1">
      <c r="A1563" s="101">
        <v>4075.0</v>
      </c>
      <c r="B1563" s="102" t="s">
        <v>43</v>
      </c>
      <c r="C1563" s="39"/>
      <c r="D1563" s="22">
        <v>0.0</v>
      </c>
      <c r="E1563" s="25">
        <f t="shared" si="247"/>
        <v>15</v>
      </c>
    </row>
    <row r="1564" ht="15.75" customHeight="1">
      <c r="A1564" s="163">
        <v>4077.0</v>
      </c>
      <c r="B1564" s="207" t="s">
        <v>328</v>
      </c>
      <c r="C1564" s="39"/>
      <c r="D1564" s="29">
        <f>3500*2</f>
        <v>7000</v>
      </c>
      <c r="E1564" s="25">
        <f t="shared" si="247"/>
        <v>16</v>
      </c>
    </row>
    <row r="1565" ht="15.75" customHeight="1">
      <c r="A1565" s="101">
        <v>4080.0</v>
      </c>
      <c r="B1565" s="102" t="s">
        <v>31</v>
      </c>
      <c r="C1565" s="39"/>
      <c r="D1565" s="22">
        <v>4000.0</v>
      </c>
      <c r="E1565" s="25">
        <f t="shared" si="247"/>
        <v>17</v>
      </c>
    </row>
    <row r="1566" ht="15.75" customHeight="1">
      <c r="A1566" s="62">
        <v>4081.0</v>
      </c>
      <c r="B1566" s="103" t="s">
        <v>44</v>
      </c>
      <c r="C1566" s="39"/>
      <c r="D1566" s="22">
        <v>1000.0</v>
      </c>
      <c r="E1566" s="25">
        <f t="shared" si="247"/>
        <v>18</v>
      </c>
    </row>
    <row r="1567" ht="15.75" customHeight="1">
      <c r="A1567" s="101">
        <v>4082.0</v>
      </c>
      <c r="B1567" s="102" t="s">
        <v>45</v>
      </c>
      <c r="C1567" s="39"/>
      <c r="D1567" s="22">
        <f>400+6*200+100+2*200</f>
        <v>2100</v>
      </c>
      <c r="E1567" s="25">
        <f t="shared" si="247"/>
        <v>19</v>
      </c>
    </row>
    <row r="1568" ht="15.75" customHeight="1">
      <c r="A1568" s="101">
        <v>4190.0</v>
      </c>
      <c r="B1568" s="102" t="s">
        <v>32</v>
      </c>
      <c r="C1568" s="39"/>
      <c r="D1568" s="22">
        <f>1000+6*600+300+2*400</f>
        <v>5700</v>
      </c>
      <c r="E1568" s="25">
        <f t="shared" si="247"/>
        <v>20</v>
      </c>
    </row>
    <row r="1569" ht="15.75" customHeight="1">
      <c r="A1569" s="101">
        <v>5050.0</v>
      </c>
      <c r="B1569" s="102" t="s">
        <v>33</v>
      </c>
      <c r="C1569" s="39"/>
      <c r="D1569" s="22">
        <v>2500.0</v>
      </c>
      <c r="E1569" s="25">
        <f t="shared" si="247"/>
        <v>21</v>
      </c>
    </row>
    <row r="1570" ht="15.75" customHeight="1">
      <c r="A1570" s="101">
        <v>5460.0</v>
      </c>
      <c r="B1570" s="102" t="s">
        <v>50</v>
      </c>
      <c r="C1570" s="39"/>
      <c r="D1570" s="22">
        <v>0.0</v>
      </c>
      <c r="E1570" s="40">
        <f t="shared" si="247"/>
        <v>22</v>
      </c>
    </row>
    <row r="1571" ht="15.75" customHeight="1">
      <c r="A1571" s="101">
        <v>5501.0</v>
      </c>
      <c r="B1571" s="102" t="s">
        <v>106</v>
      </c>
      <c r="C1571" s="39"/>
      <c r="D1571" s="22">
        <v>0.0</v>
      </c>
      <c r="E1571" s="25">
        <f t="shared" si="247"/>
        <v>23</v>
      </c>
    </row>
    <row r="1572" ht="15.75" customHeight="1">
      <c r="A1572" s="163">
        <v>5810.0</v>
      </c>
      <c r="B1572" s="207" t="s">
        <v>34</v>
      </c>
      <c r="C1572" s="39"/>
      <c r="D1572" s="29">
        <v>0.0</v>
      </c>
      <c r="E1572" s="25">
        <f t="shared" si="247"/>
        <v>24</v>
      </c>
    </row>
    <row r="1573" ht="15.75" customHeight="1">
      <c r="A1573" s="101">
        <v>6070.0</v>
      </c>
      <c r="B1573" s="102" t="s">
        <v>35</v>
      </c>
      <c r="C1573" s="39"/>
      <c r="D1573" s="22">
        <v>2000.0</v>
      </c>
      <c r="E1573" s="25">
        <f t="shared" si="247"/>
        <v>25</v>
      </c>
    </row>
    <row r="1574" ht="15.75" hidden="1" customHeight="1">
      <c r="A1574" s="272">
        <v>6211.0</v>
      </c>
      <c r="B1574" s="273" t="s">
        <v>73</v>
      </c>
      <c r="C1574" s="274"/>
      <c r="D1574" s="275">
        <v>0.0</v>
      </c>
      <c r="E1574" s="159"/>
    </row>
    <row r="1575" ht="15.75" customHeight="1">
      <c r="A1575" s="101"/>
      <c r="B1575" s="106" t="s">
        <v>19</v>
      </c>
      <c r="C1575" s="31">
        <f t="shared" ref="C1575:D1575" si="248">SUM(C1550:C1574)</f>
        <v>64000</v>
      </c>
      <c r="D1575" s="32">
        <f t="shared" si="248"/>
        <v>48780</v>
      </c>
      <c r="E1575" s="25"/>
    </row>
    <row r="1576" ht="15.75" customHeight="1">
      <c r="A1576" s="101"/>
      <c r="B1576" s="136" t="s">
        <v>20</v>
      </c>
      <c r="C1576" s="53"/>
      <c r="D1576" s="32">
        <f>C1575-D1575</f>
        <v>15220</v>
      </c>
      <c r="E1576" s="40"/>
    </row>
    <row r="1577" ht="15.75" customHeight="1">
      <c r="A1577" s="97">
        <v>182301.0</v>
      </c>
      <c r="B1577" s="276" t="s">
        <v>329</v>
      </c>
      <c r="C1577" s="75"/>
      <c r="D1577" s="76"/>
      <c r="E1577" s="177"/>
    </row>
    <row r="1578" ht="15.75" customHeight="1">
      <c r="A1578" s="62">
        <v>3011.0</v>
      </c>
      <c r="B1578" s="98" t="s">
        <v>22</v>
      </c>
      <c r="C1578" s="39">
        <f>250*50</f>
        <v>12500</v>
      </c>
      <c r="D1578" s="22"/>
      <c r="E1578" s="25">
        <f>E1573+1</f>
        <v>26</v>
      </c>
    </row>
    <row r="1579" ht="15.75" customHeight="1">
      <c r="A1579" s="62">
        <v>3030.0</v>
      </c>
      <c r="B1579" s="98" t="s">
        <v>117</v>
      </c>
      <c r="C1579" s="39">
        <f>6000*1.13</f>
        <v>6780</v>
      </c>
      <c r="D1579" s="22"/>
      <c r="E1579" s="25">
        <f t="shared" ref="E1579:E1581" si="249">E1578+1</f>
        <v>27</v>
      </c>
    </row>
    <row r="1580" ht="15.75" customHeight="1">
      <c r="A1580" s="62">
        <v>4012.0</v>
      </c>
      <c r="B1580" s="98" t="s">
        <v>118</v>
      </c>
      <c r="C1580" s="39"/>
      <c r="D1580" s="22">
        <f>C1579/1.9</f>
        <v>3568.421053</v>
      </c>
      <c r="E1580" s="25">
        <f t="shared" si="249"/>
        <v>28</v>
      </c>
    </row>
    <row r="1581" ht="15.75" customHeight="1">
      <c r="A1581" s="62">
        <v>4013.0</v>
      </c>
      <c r="B1581" s="98" t="s">
        <v>98</v>
      </c>
      <c r="C1581" s="39"/>
      <c r="D1581" s="22">
        <f>15*40</f>
        <v>600</v>
      </c>
      <c r="E1581" s="25">
        <f t="shared" si="249"/>
        <v>29</v>
      </c>
    </row>
    <row r="1582" ht="15.75" customHeight="1">
      <c r="A1582" s="62">
        <v>4076.0</v>
      </c>
      <c r="B1582" s="98" t="s">
        <v>29</v>
      </c>
      <c r="C1582" s="39"/>
      <c r="D1582" s="22">
        <f>200*50</f>
        <v>10000</v>
      </c>
      <c r="E1582" s="25">
        <f>E1580+1</f>
        <v>29</v>
      </c>
    </row>
    <row r="1583" ht="15.75" customHeight="1">
      <c r="A1583" s="52">
        <v>6993.0</v>
      </c>
      <c r="B1583" s="214" t="s">
        <v>115</v>
      </c>
      <c r="C1583" s="39"/>
      <c r="D1583" s="22">
        <f>50*10*1.25</f>
        <v>625</v>
      </c>
      <c r="E1583" s="25">
        <f>E1582+1</f>
        <v>30</v>
      </c>
    </row>
    <row r="1584" ht="15.75" customHeight="1">
      <c r="A1584" s="62"/>
      <c r="B1584" s="106" t="s">
        <v>19</v>
      </c>
      <c r="C1584" s="31">
        <f t="shared" ref="C1584:D1584" si="250">SUM(C1578:C1583)</f>
        <v>19280</v>
      </c>
      <c r="D1584" s="32">
        <f t="shared" si="250"/>
        <v>14793.42105</v>
      </c>
      <c r="E1584" s="25"/>
    </row>
    <row r="1585" ht="15.75" customHeight="1">
      <c r="A1585" s="101"/>
      <c r="B1585" s="136" t="s">
        <v>20</v>
      </c>
      <c r="C1585" s="53"/>
      <c r="D1585" s="32">
        <f>C1584-D1584</f>
        <v>4486.578947</v>
      </c>
      <c r="E1585" s="40"/>
    </row>
    <row r="1586" ht="15.75" customHeight="1">
      <c r="A1586" s="277"/>
      <c r="B1586" s="278" t="s">
        <v>330</v>
      </c>
      <c r="C1586" s="279"/>
      <c r="D1586" s="280"/>
      <c r="E1586" s="281"/>
    </row>
    <row r="1587" ht="15.75" customHeight="1">
      <c r="A1587" s="97">
        <v>182323.0</v>
      </c>
      <c r="B1587" s="271" t="s">
        <v>331</v>
      </c>
      <c r="C1587" s="75"/>
      <c r="D1587" s="76"/>
      <c r="E1587" s="177"/>
    </row>
    <row r="1588" ht="15.75" customHeight="1">
      <c r="A1588" s="282">
        <v>4060.0</v>
      </c>
      <c r="B1588" s="98" t="s">
        <v>27</v>
      </c>
      <c r="C1588" s="39"/>
      <c r="D1588" s="22">
        <f>200*2+50*2</f>
        <v>500</v>
      </c>
      <c r="E1588" s="25">
        <f>E1583+1</f>
        <v>31</v>
      </c>
    </row>
    <row r="1589" ht="15.75" customHeight="1">
      <c r="A1589" s="282">
        <v>4082.0</v>
      </c>
      <c r="B1589" s="98" t="s">
        <v>45</v>
      </c>
      <c r="C1589" s="39"/>
      <c r="D1589" s="22">
        <f>200*2</f>
        <v>400</v>
      </c>
      <c r="E1589" s="25">
        <f t="shared" ref="E1589:E1591" si="251">E1588+1</f>
        <v>32</v>
      </c>
    </row>
    <row r="1590" ht="15.75" customHeight="1">
      <c r="A1590" s="282">
        <v>4047.0</v>
      </c>
      <c r="B1590" s="98" t="s">
        <v>14</v>
      </c>
      <c r="C1590" s="39"/>
      <c r="D1590" s="22">
        <f>2000+4000</f>
        <v>6000</v>
      </c>
      <c r="E1590" s="25">
        <f t="shared" si="251"/>
        <v>33</v>
      </c>
    </row>
    <row r="1591" ht="15.75" customHeight="1">
      <c r="A1591" s="282">
        <v>4190.0</v>
      </c>
      <c r="B1591" s="98" t="s">
        <v>32</v>
      </c>
      <c r="C1591" s="39"/>
      <c r="D1591" s="22">
        <f>400*2</f>
        <v>800</v>
      </c>
      <c r="E1591" s="25">
        <f t="shared" si="251"/>
        <v>34</v>
      </c>
    </row>
    <row r="1592" ht="15.75" customHeight="1">
      <c r="A1592" s="282"/>
      <c r="B1592" s="135" t="s">
        <v>19</v>
      </c>
      <c r="C1592" s="31">
        <f t="shared" ref="C1592:D1592" si="252">SUM(C1588:C1591)</f>
        <v>0</v>
      </c>
      <c r="D1592" s="32">
        <f t="shared" si="252"/>
        <v>7700</v>
      </c>
      <c r="E1592" s="25"/>
    </row>
    <row r="1593" ht="15.75" customHeight="1">
      <c r="A1593" s="282"/>
      <c r="B1593" s="135" t="s">
        <v>20</v>
      </c>
      <c r="C1593" s="31"/>
      <c r="D1593" s="32">
        <f>C1592-D1592</f>
        <v>-7700</v>
      </c>
      <c r="E1593" s="25"/>
    </row>
    <row r="1594" ht="15.75" customHeight="1">
      <c r="A1594" s="97">
        <v>182313.0</v>
      </c>
      <c r="B1594" s="283" t="s">
        <v>332</v>
      </c>
      <c r="C1594" s="75"/>
      <c r="D1594" s="76"/>
      <c r="E1594" s="177"/>
    </row>
    <row r="1595" ht="15.75" customHeight="1">
      <c r="A1595" s="101">
        <v>3015.0</v>
      </c>
      <c r="B1595" s="102" t="s">
        <v>142</v>
      </c>
      <c r="C1595" s="39">
        <v>0.0</v>
      </c>
      <c r="D1595" s="22"/>
      <c r="E1595" s="25">
        <f>E1591+1</f>
        <v>35</v>
      </c>
    </row>
    <row r="1596" ht="15.75" customHeight="1">
      <c r="A1596" s="163">
        <v>4040.0</v>
      </c>
      <c r="B1596" s="207" t="s">
        <v>24</v>
      </c>
      <c r="C1596" s="39"/>
      <c r="D1596" s="22">
        <v>200.0</v>
      </c>
      <c r="E1596" s="25">
        <f t="shared" ref="E1596:E1602" si="253">E1595+1</f>
        <v>36</v>
      </c>
    </row>
    <row r="1597" ht="15.75" customHeight="1">
      <c r="A1597" s="101">
        <v>4047.0</v>
      </c>
      <c r="B1597" s="102" t="s">
        <v>14</v>
      </c>
      <c r="C1597" s="39"/>
      <c r="D1597" s="29">
        <v>500.0</v>
      </c>
      <c r="E1597" s="25">
        <f t="shared" si="253"/>
        <v>37</v>
      </c>
    </row>
    <row r="1598" ht="15.75" customHeight="1">
      <c r="A1598" s="163">
        <v>4060.0</v>
      </c>
      <c r="B1598" s="207" t="s">
        <v>27</v>
      </c>
      <c r="C1598" s="39"/>
      <c r="D1598" s="22">
        <f>200*5+50*5</f>
        <v>1250</v>
      </c>
      <c r="E1598" s="25">
        <f t="shared" si="253"/>
        <v>38</v>
      </c>
    </row>
    <row r="1599" ht="15.75" customHeight="1">
      <c r="A1599" s="163">
        <v>4065.0</v>
      </c>
      <c r="B1599" s="207" t="s">
        <v>16</v>
      </c>
      <c r="C1599" s="284"/>
      <c r="D1599" s="22">
        <v>6250.0</v>
      </c>
      <c r="E1599" s="285">
        <f t="shared" si="253"/>
        <v>39</v>
      </c>
    </row>
    <row r="1600" ht="15.75" customHeight="1">
      <c r="A1600" s="101">
        <v>4076.0</v>
      </c>
      <c r="B1600" s="102" t="s">
        <v>29</v>
      </c>
      <c r="C1600" s="170"/>
      <c r="D1600" s="22">
        <f>3*40*75</f>
        <v>9000</v>
      </c>
      <c r="E1600" s="25">
        <f t="shared" si="253"/>
        <v>40</v>
      </c>
    </row>
    <row r="1601" ht="15.75" customHeight="1">
      <c r="A1601" s="163">
        <v>4082.0</v>
      </c>
      <c r="B1601" s="207" t="s">
        <v>45</v>
      </c>
      <c r="C1601" s="170"/>
      <c r="D1601" s="22">
        <f>200+100*4</f>
        <v>600</v>
      </c>
      <c r="E1601" s="25">
        <f t="shared" si="253"/>
        <v>41</v>
      </c>
    </row>
    <row r="1602" ht="15.75" customHeight="1">
      <c r="A1602" s="163">
        <v>4190.0</v>
      </c>
      <c r="B1602" s="207" t="s">
        <v>32</v>
      </c>
      <c r="C1602" s="170"/>
      <c r="D1602" s="22">
        <f>500+300*4</f>
        <v>1700</v>
      </c>
      <c r="E1602" s="25">
        <f t="shared" si="253"/>
        <v>42</v>
      </c>
    </row>
    <row r="1603" ht="15.75" customHeight="1">
      <c r="A1603" s="101"/>
      <c r="B1603" s="106" t="s">
        <v>19</v>
      </c>
      <c r="C1603" s="31">
        <f t="shared" ref="C1603:D1603" si="254">SUM(C1595:C1602)</f>
        <v>0</v>
      </c>
      <c r="D1603" s="32">
        <f t="shared" si="254"/>
        <v>19500</v>
      </c>
      <c r="E1603" s="25"/>
    </row>
    <row r="1604" ht="15.75" customHeight="1">
      <c r="A1604" s="101"/>
      <c r="B1604" s="136" t="s">
        <v>20</v>
      </c>
      <c r="C1604" s="53"/>
      <c r="D1604" s="32">
        <f>C1603-D1603</f>
        <v>-19500</v>
      </c>
      <c r="E1604" s="40"/>
    </row>
    <row r="1605" ht="15.75" customHeight="1">
      <c r="A1605" s="97">
        <v>182314.0</v>
      </c>
      <c r="B1605" s="283" t="s">
        <v>333</v>
      </c>
      <c r="C1605" s="75"/>
      <c r="D1605" s="76"/>
      <c r="E1605" s="177"/>
    </row>
    <row r="1606" ht="15.75" hidden="1" customHeight="1">
      <c r="A1606" s="163">
        <v>4060.0</v>
      </c>
      <c r="B1606" s="207" t="s">
        <v>27</v>
      </c>
      <c r="C1606" s="39"/>
      <c r="D1606" s="29">
        <v>0.0</v>
      </c>
      <c r="E1606" s="25">
        <f>E1602+1</f>
        <v>43</v>
      </c>
    </row>
    <row r="1607" ht="15.75" hidden="1" customHeight="1">
      <c r="A1607" s="163">
        <v>4065.0</v>
      </c>
      <c r="B1607" s="207" t="s">
        <v>16</v>
      </c>
      <c r="C1607" s="170"/>
      <c r="D1607" s="29">
        <v>0.0</v>
      </c>
      <c r="E1607" s="25">
        <f t="shared" ref="E1607:E1609" si="255">E1606+1</f>
        <v>44</v>
      </c>
    </row>
    <row r="1608" ht="15.75" hidden="1" customHeight="1">
      <c r="A1608" s="163">
        <v>4082.0</v>
      </c>
      <c r="B1608" s="207" t="s">
        <v>45</v>
      </c>
      <c r="C1608" s="170"/>
      <c r="D1608" s="29">
        <v>0.0</v>
      </c>
      <c r="E1608" s="25">
        <f t="shared" si="255"/>
        <v>45</v>
      </c>
    </row>
    <row r="1609" ht="15.75" hidden="1" customHeight="1">
      <c r="A1609" s="163">
        <v>4190.0</v>
      </c>
      <c r="B1609" s="207" t="s">
        <v>32</v>
      </c>
      <c r="C1609" s="170"/>
      <c r="D1609" s="29">
        <v>0.0</v>
      </c>
      <c r="E1609" s="25">
        <f t="shared" si="255"/>
        <v>46</v>
      </c>
    </row>
    <row r="1610" ht="15.75" hidden="1" customHeight="1">
      <c r="A1610" s="101"/>
      <c r="B1610" s="106" t="s">
        <v>19</v>
      </c>
      <c r="C1610" s="31">
        <f t="shared" ref="C1610:D1610" si="256">SUM(C1606:C1609)</f>
        <v>0</v>
      </c>
      <c r="D1610" s="32">
        <f t="shared" si="256"/>
        <v>0</v>
      </c>
      <c r="E1610" s="25"/>
    </row>
    <row r="1611" ht="15.75" hidden="1" customHeight="1">
      <c r="A1611" s="101"/>
      <c r="B1611" s="136" t="s">
        <v>20</v>
      </c>
      <c r="C1611" s="53"/>
      <c r="D1611" s="32">
        <f>C1610-D1610</f>
        <v>0</v>
      </c>
      <c r="E1611" s="40"/>
    </row>
    <row r="1612" ht="15.75" customHeight="1">
      <c r="A1612" s="97">
        <v>182315.0</v>
      </c>
      <c r="B1612" s="131" t="s">
        <v>334</v>
      </c>
      <c r="C1612" s="75"/>
      <c r="D1612" s="76"/>
      <c r="E1612" s="177"/>
    </row>
    <row r="1613" ht="15.75" customHeight="1">
      <c r="A1613" s="62">
        <v>3011.0</v>
      </c>
      <c r="B1613" s="286" t="s">
        <v>22</v>
      </c>
      <c r="C1613" s="156">
        <f>60*100+30*50</f>
        <v>7500</v>
      </c>
      <c r="D1613" s="57"/>
      <c r="E1613" s="25">
        <f>E1609+1</f>
        <v>47</v>
      </c>
    </row>
    <row r="1614" ht="16.5" customHeight="1">
      <c r="A1614" s="19">
        <v>3030.0</v>
      </c>
      <c r="B1614" s="20" t="s">
        <v>117</v>
      </c>
      <c r="C1614" s="156">
        <f>3800*1.13</f>
        <v>4294</v>
      </c>
      <c r="D1614" s="57"/>
      <c r="E1614" s="25">
        <f t="shared" ref="E1614:E1622" si="257">E1613+1</f>
        <v>48</v>
      </c>
    </row>
    <row r="1615" ht="15.75" customHeight="1">
      <c r="A1615" s="19">
        <v>4012.0</v>
      </c>
      <c r="B1615" s="20" t="s">
        <v>60</v>
      </c>
      <c r="C1615" s="156"/>
      <c r="D1615" s="57">
        <f>C1614/1.9</f>
        <v>2260</v>
      </c>
      <c r="E1615" s="25">
        <f t="shared" si="257"/>
        <v>49</v>
      </c>
    </row>
    <row r="1616" ht="15.75" customHeight="1">
      <c r="A1616" s="19">
        <v>4040.0</v>
      </c>
      <c r="B1616" s="20" t="s">
        <v>24</v>
      </c>
      <c r="C1616" s="156"/>
      <c r="D1616" s="57">
        <f>4*100</f>
        <v>400</v>
      </c>
      <c r="E1616" s="25">
        <f t="shared" si="257"/>
        <v>50</v>
      </c>
    </row>
    <row r="1617" ht="15.75" customHeight="1">
      <c r="A1617" s="19">
        <v>4047.0</v>
      </c>
      <c r="B1617" s="20" t="s">
        <v>14</v>
      </c>
      <c r="C1617" s="156"/>
      <c r="D1617" s="57">
        <f>6000+3000</f>
        <v>9000</v>
      </c>
      <c r="E1617" s="25">
        <f t="shared" si="257"/>
        <v>51</v>
      </c>
    </row>
    <row r="1618" ht="15.75" customHeight="1">
      <c r="A1618" s="19">
        <v>4060.0</v>
      </c>
      <c r="B1618" s="20" t="s">
        <v>27</v>
      </c>
      <c r="C1618" s="156"/>
      <c r="D1618" s="57">
        <f>0</f>
        <v>0</v>
      </c>
      <c r="E1618" s="25">
        <f t="shared" si="257"/>
        <v>52</v>
      </c>
    </row>
    <row r="1619" ht="15.75" customHeight="1">
      <c r="A1619" s="52">
        <v>4076.0</v>
      </c>
      <c r="B1619" s="44" t="s">
        <v>29</v>
      </c>
      <c r="C1619" s="156"/>
      <c r="D1619" s="57">
        <f>3*40*75+50*40</f>
        <v>11000</v>
      </c>
      <c r="E1619" s="25">
        <f t="shared" si="257"/>
        <v>53</v>
      </c>
    </row>
    <row r="1620" ht="15.75" customHeight="1">
      <c r="A1620" s="52">
        <v>4082.0</v>
      </c>
      <c r="B1620" s="44" t="s">
        <v>45</v>
      </c>
      <c r="C1620" s="156"/>
      <c r="D1620" s="57">
        <v>0.0</v>
      </c>
      <c r="E1620" s="25">
        <f t="shared" si="257"/>
        <v>54</v>
      </c>
    </row>
    <row r="1621" ht="15.75" customHeight="1">
      <c r="A1621" s="52">
        <v>4190.0</v>
      </c>
      <c r="B1621" s="44" t="s">
        <v>32</v>
      </c>
      <c r="C1621" s="156"/>
      <c r="D1621" s="57">
        <f>5*100</f>
        <v>500</v>
      </c>
      <c r="E1621" s="25">
        <f t="shared" si="257"/>
        <v>55</v>
      </c>
    </row>
    <row r="1622" ht="15.75" customHeight="1">
      <c r="A1622" s="52">
        <v>6993.0</v>
      </c>
      <c r="B1622" s="287" t="s">
        <v>115</v>
      </c>
      <c r="C1622" s="156"/>
      <c r="D1622" s="57">
        <f>90*12.5</f>
        <v>1125</v>
      </c>
      <c r="E1622" s="25">
        <f t="shared" si="257"/>
        <v>56</v>
      </c>
    </row>
    <row r="1623" ht="15.75" customHeight="1">
      <c r="A1623" s="101"/>
      <c r="B1623" s="106" t="s">
        <v>19</v>
      </c>
      <c r="C1623" s="31">
        <f t="shared" ref="C1623:D1623" si="258">SUM(C1613:C1622)</f>
        <v>11794</v>
      </c>
      <c r="D1623" s="32">
        <f t="shared" si="258"/>
        <v>24285</v>
      </c>
      <c r="E1623" s="25"/>
    </row>
    <row r="1624" ht="15.75" customHeight="1">
      <c r="A1624" s="101"/>
      <c r="B1624" s="136" t="s">
        <v>20</v>
      </c>
      <c r="C1624" s="53"/>
      <c r="D1624" s="32">
        <f>C1623-D1623</f>
        <v>-12491</v>
      </c>
      <c r="E1624" s="40"/>
    </row>
    <row r="1625" ht="15.75" customHeight="1">
      <c r="A1625" s="97">
        <v>182318.0</v>
      </c>
      <c r="B1625" s="271" t="s">
        <v>335</v>
      </c>
      <c r="C1625" s="75"/>
      <c r="D1625" s="76"/>
      <c r="E1625" s="177"/>
    </row>
    <row r="1626" ht="15.75" customHeight="1">
      <c r="A1626" s="101">
        <v>3011.0</v>
      </c>
      <c r="B1626" s="102" t="s">
        <v>22</v>
      </c>
      <c r="C1626" s="68">
        <v>0.0</v>
      </c>
      <c r="D1626" s="22"/>
      <c r="E1626" s="25">
        <f>E1622+1</f>
        <v>57</v>
      </c>
    </row>
    <row r="1627" ht="15.75" customHeight="1">
      <c r="A1627" s="101">
        <v>4076.0</v>
      </c>
      <c r="B1627" s="102" t="s">
        <v>29</v>
      </c>
      <c r="C1627" s="39"/>
      <c r="D1627" s="29">
        <f>4000*1</f>
        <v>4000</v>
      </c>
      <c r="E1627" s="25">
        <f>E1626+1</f>
        <v>58</v>
      </c>
    </row>
    <row r="1628" ht="15.75" customHeight="1">
      <c r="A1628" s="101"/>
      <c r="B1628" s="106" t="s">
        <v>19</v>
      </c>
      <c r="C1628" s="31">
        <f t="shared" ref="C1628:D1628" si="259">SUM(C1626:C1627)</f>
        <v>0</v>
      </c>
      <c r="D1628" s="32">
        <f t="shared" si="259"/>
        <v>4000</v>
      </c>
      <c r="E1628" s="25"/>
    </row>
    <row r="1629" ht="15.75" customHeight="1">
      <c r="A1629" s="101"/>
      <c r="B1629" s="136" t="s">
        <v>20</v>
      </c>
      <c r="C1629" s="53"/>
      <c r="D1629" s="32">
        <f>C1628-D1628</f>
        <v>-4000</v>
      </c>
      <c r="E1629" s="40"/>
    </row>
    <row r="1630" ht="15.75" customHeight="1">
      <c r="A1630" s="187"/>
      <c r="B1630" s="288" t="s">
        <v>336</v>
      </c>
      <c r="C1630" s="75"/>
      <c r="D1630" s="76"/>
      <c r="E1630" s="177"/>
    </row>
    <row r="1631" ht="15.75" hidden="1" customHeight="1">
      <c r="A1631" s="154">
        <v>3011.0</v>
      </c>
      <c r="B1631" s="221" t="s">
        <v>22</v>
      </c>
      <c r="C1631" s="39">
        <v>0.0</v>
      </c>
      <c r="D1631" s="22"/>
      <c r="E1631" s="25">
        <f>E1627+1</f>
        <v>59</v>
      </c>
    </row>
    <row r="1632" ht="15.75" hidden="1" customHeight="1">
      <c r="A1632" s="154">
        <v>3030.0</v>
      </c>
      <c r="B1632" s="221" t="s">
        <v>117</v>
      </c>
      <c r="C1632" s="39">
        <v>0.0</v>
      </c>
      <c r="D1632" s="22"/>
      <c r="E1632" s="25">
        <f t="shared" ref="E1632:E1636" si="260">E1631+1</f>
        <v>60</v>
      </c>
    </row>
    <row r="1633" ht="15.75" hidden="1" customHeight="1">
      <c r="A1633" s="154">
        <v>4012.0</v>
      </c>
      <c r="B1633" s="221" t="s">
        <v>118</v>
      </c>
      <c r="C1633" s="39"/>
      <c r="D1633" s="22">
        <v>0.0</v>
      </c>
      <c r="E1633" s="25">
        <f t="shared" si="260"/>
        <v>61</v>
      </c>
    </row>
    <row r="1634" ht="15.75" hidden="1" customHeight="1">
      <c r="A1634" s="154">
        <v>4047.0</v>
      </c>
      <c r="B1634" s="221" t="s">
        <v>14</v>
      </c>
      <c r="C1634" s="39"/>
      <c r="D1634" s="22">
        <v>0.0</v>
      </c>
      <c r="E1634" s="25">
        <f t="shared" si="260"/>
        <v>62</v>
      </c>
    </row>
    <row r="1635" ht="15.75" hidden="1" customHeight="1">
      <c r="A1635" s="154">
        <v>4076.0</v>
      </c>
      <c r="B1635" s="221" t="s">
        <v>29</v>
      </c>
      <c r="C1635" s="39"/>
      <c r="D1635" s="22">
        <v>0.0</v>
      </c>
      <c r="E1635" s="25">
        <f t="shared" si="260"/>
        <v>63</v>
      </c>
    </row>
    <row r="1636" ht="15.75" hidden="1" customHeight="1">
      <c r="A1636" s="154">
        <v>6993.0</v>
      </c>
      <c r="B1636" s="65" t="s">
        <v>115</v>
      </c>
      <c r="C1636" s="39"/>
      <c r="D1636" s="22">
        <v>0.0</v>
      </c>
      <c r="E1636" s="25">
        <f t="shared" si="260"/>
        <v>64</v>
      </c>
    </row>
    <row r="1637" ht="15.75" hidden="1" customHeight="1">
      <c r="A1637" s="154"/>
      <c r="B1637" s="256" t="s">
        <v>19</v>
      </c>
      <c r="C1637" s="31">
        <f t="shared" ref="C1637:D1637" si="261">SUM(C1631:C1636)</f>
        <v>0</v>
      </c>
      <c r="D1637" s="32">
        <f t="shared" si="261"/>
        <v>0</v>
      </c>
      <c r="E1637" s="40"/>
    </row>
    <row r="1638" ht="15.75" hidden="1" customHeight="1">
      <c r="A1638" s="154"/>
      <c r="B1638" s="256" t="s">
        <v>20</v>
      </c>
      <c r="C1638" s="39"/>
      <c r="D1638" s="32">
        <f>C1637-D1637</f>
        <v>0</v>
      </c>
      <c r="E1638" s="40"/>
    </row>
    <row r="1639" ht="15.75" customHeight="1">
      <c r="A1639" s="277"/>
      <c r="B1639" s="278" t="s">
        <v>337</v>
      </c>
      <c r="C1639" s="279"/>
      <c r="D1639" s="280"/>
      <c r="E1639" s="281"/>
    </row>
    <row r="1640" ht="15.75" customHeight="1">
      <c r="A1640" s="97">
        <v>182350.0</v>
      </c>
      <c r="B1640" s="271" t="s">
        <v>338</v>
      </c>
      <c r="C1640" s="75"/>
      <c r="D1640" s="76"/>
      <c r="E1640" s="37"/>
    </row>
    <row r="1641" ht="15.75" customHeight="1">
      <c r="A1641" s="101">
        <v>3010.0</v>
      </c>
      <c r="B1641" s="102" t="s">
        <v>2</v>
      </c>
      <c r="C1641" s="39">
        <v>0.0</v>
      </c>
      <c r="D1641" s="22"/>
      <c r="E1641" s="25">
        <f>E1627+1</f>
        <v>59</v>
      </c>
    </row>
    <row r="1642" ht="15.75" customHeight="1">
      <c r="A1642" s="101">
        <v>4060.0</v>
      </c>
      <c r="B1642" s="102" t="s">
        <v>27</v>
      </c>
      <c r="C1642" s="39"/>
      <c r="D1642" s="22">
        <f>2*200+50*2</f>
        <v>500</v>
      </c>
      <c r="E1642" s="25">
        <f t="shared" ref="E1642:E1645" si="262">E1641+1</f>
        <v>60</v>
      </c>
    </row>
    <row r="1643" ht="15.75" customHeight="1">
      <c r="A1643" s="101">
        <v>4063.0</v>
      </c>
      <c r="B1643" s="102" t="s">
        <v>70</v>
      </c>
      <c r="C1643" s="39"/>
      <c r="D1643" s="22">
        <v>2500.0</v>
      </c>
      <c r="E1643" s="25">
        <f t="shared" si="262"/>
        <v>61</v>
      </c>
    </row>
    <row r="1644" ht="15.75" customHeight="1">
      <c r="A1644" s="101">
        <v>4082.0</v>
      </c>
      <c r="B1644" s="102" t="s">
        <v>45</v>
      </c>
      <c r="C1644" s="39"/>
      <c r="D1644" s="22">
        <f>2*200</f>
        <v>400</v>
      </c>
      <c r="E1644" s="25">
        <f t="shared" si="262"/>
        <v>62</v>
      </c>
    </row>
    <row r="1645" ht="15.75" customHeight="1">
      <c r="A1645" s="101">
        <v>4190.0</v>
      </c>
      <c r="B1645" s="102" t="s">
        <v>32</v>
      </c>
      <c r="C1645" s="39"/>
      <c r="D1645" s="22">
        <f>2*400+4*100</f>
        <v>1200</v>
      </c>
      <c r="E1645" s="25">
        <f t="shared" si="262"/>
        <v>63</v>
      </c>
    </row>
    <row r="1646" ht="15.75" customHeight="1">
      <c r="A1646" s="101"/>
      <c r="B1646" s="106" t="s">
        <v>19</v>
      </c>
      <c r="C1646" s="31">
        <f t="shared" ref="C1646:D1646" si="263">SUM(C1641:C1645)</f>
        <v>0</v>
      </c>
      <c r="D1646" s="32">
        <f t="shared" si="263"/>
        <v>4600</v>
      </c>
      <c r="E1646" s="25"/>
    </row>
    <row r="1647" ht="15.75" customHeight="1">
      <c r="A1647" s="101"/>
      <c r="B1647" s="136" t="s">
        <v>20</v>
      </c>
      <c r="C1647" s="53"/>
      <c r="D1647" s="32">
        <f>C1646-D1646</f>
        <v>-4600</v>
      </c>
      <c r="E1647" s="40"/>
    </row>
    <row r="1648" ht="15.75" customHeight="1">
      <c r="A1648" s="289">
        <v>182353.0</v>
      </c>
      <c r="B1648" s="290" t="s">
        <v>339</v>
      </c>
      <c r="C1648" s="84"/>
      <c r="D1648" s="85"/>
      <c r="E1648" s="86"/>
    </row>
    <row r="1649" ht="15.75" customHeight="1">
      <c r="A1649" s="101">
        <v>3011.0</v>
      </c>
      <c r="B1649" s="102" t="s">
        <v>22</v>
      </c>
      <c r="C1649" s="39">
        <f>200*150+150*30+100*20</f>
        <v>36500</v>
      </c>
      <c r="D1649" s="22"/>
      <c r="E1649" s="25">
        <f>E1645+1</f>
        <v>64</v>
      </c>
    </row>
    <row r="1650" ht="15.75" customHeight="1">
      <c r="A1650" s="101">
        <v>3030.0</v>
      </c>
      <c r="B1650" s="102" t="s">
        <v>117</v>
      </c>
      <c r="C1650" s="39">
        <f>40500*1.13</f>
        <v>45765</v>
      </c>
      <c r="D1650" s="22"/>
      <c r="E1650" s="25">
        <f t="shared" ref="E1650:E1656" si="264">E1649+1</f>
        <v>65</v>
      </c>
    </row>
    <row r="1651" ht="15.75" customHeight="1">
      <c r="A1651" s="163">
        <v>4010.0</v>
      </c>
      <c r="B1651" s="102" t="s">
        <v>48</v>
      </c>
      <c r="C1651" s="39"/>
      <c r="D1651" s="22">
        <v>4500.0</v>
      </c>
      <c r="E1651" s="25">
        <f t="shared" si="264"/>
        <v>66</v>
      </c>
    </row>
    <row r="1652" ht="15.75" customHeight="1">
      <c r="A1652" s="101">
        <v>4012.0</v>
      </c>
      <c r="B1652" s="102" t="s">
        <v>118</v>
      </c>
      <c r="C1652" s="39"/>
      <c r="D1652" s="22">
        <f>C1650/1.9</f>
        <v>24086.84211</v>
      </c>
      <c r="E1652" s="25">
        <f t="shared" si="264"/>
        <v>67</v>
      </c>
    </row>
    <row r="1653" ht="15.75" customHeight="1">
      <c r="A1653" s="101">
        <v>4013.0</v>
      </c>
      <c r="B1653" s="102" t="s">
        <v>98</v>
      </c>
      <c r="C1653" s="39"/>
      <c r="D1653" s="22">
        <f>100*21+40*7+40*7</f>
        <v>2660</v>
      </c>
      <c r="E1653" s="25">
        <f t="shared" si="264"/>
        <v>68</v>
      </c>
    </row>
    <row r="1654" ht="15.75" customHeight="1">
      <c r="A1654" s="101">
        <v>4040.0</v>
      </c>
      <c r="B1654" s="102" t="s">
        <v>24</v>
      </c>
      <c r="C1654" s="39"/>
      <c r="D1654" s="22">
        <v>300.0</v>
      </c>
      <c r="E1654" s="25">
        <f t="shared" si="264"/>
        <v>69</v>
      </c>
    </row>
    <row r="1655" ht="15.75" customHeight="1">
      <c r="A1655" s="101">
        <v>4047.0</v>
      </c>
      <c r="B1655" s="102" t="s">
        <v>14</v>
      </c>
      <c r="C1655" s="39"/>
      <c r="D1655" s="22">
        <v>12000.0</v>
      </c>
      <c r="E1655" s="25">
        <f t="shared" si="264"/>
        <v>70</v>
      </c>
    </row>
    <row r="1656" ht="15.75" hidden="1" customHeight="1">
      <c r="A1656" s="101">
        <v>4076.0</v>
      </c>
      <c r="B1656" s="102" t="s">
        <v>29</v>
      </c>
      <c r="C1656" s="39"/>
      <c r="D1656" s="22">
        <v>0.0</v>
      </c>
      <c r="E1656" s="25">
        <f t="shared" si="264"/>
        <v>71</v>
      </c>
    </row>
    <row r="1657" ht="15.75" customHeight="1">
      <c r="A1657" s="101">
        <v>4076.0</v>
      </c>
      <c r="B1657" s="102" t="s">
        <v>29</v>
      </c>
      <c r="C1657" s="39"/>
      <c r="D1657" s="22">
        <f>10000+5000+10500</f>
        <v>25500</v>
      </c>
      <c r="E1657" s="25">
        <f>E1655+1</f>
        <v>71</v>
      </c>
    </row>
    <row r="1658" ht="15.75" customHeight="1">
      <c r="A1658" s="101">
        <v>6800.0</v>
      </c>
      <c r="B1658" s="102" t="s">
        <v>114</v>
      </c>
      <c r="C1658" s="39"/>
      <c r="D1658" s="22">
        <f>547.5*2*2.5+547.5*6*5.5</f>
        <v>20805</v>
      </c>
      <c r="E1658" s="25">
        <f t="shared" ref="E1658:E1659" si="265">E1657+1</f>
        <v>72</v>
      </c>
    </row>
    <row r="1659" ht="15.75" customHeight="1">
      <c r="A1659" s="101">
        <v>6993.0</v>
      </c>
      <c r="B1659" s="102" t="s">
        <v>115</v>
      </c>
      <c r="C1659" s="39"/>
      <c r="D1659" s="22">
        <f>225*12.5+90*6.25</f>
        <v>3375</v>
      </c>
      <c r="E1659" s="25">
        <f t="shared" si="265"/>
        <v>73</v>
      </c>
    </row>
    <row r="1660" ht="15.75" customHeight="1">
      <c r="A1660" s="101"/>
      <c r="B1660" s="106" t="s">
        <v>19</v>
      </c>
      <c r="C1660" s="31">
        <f t="shared" ref="C1660:D1660" si="266">SUM(C1649:C1659)</f>
        <v>82265</v>
      </c>
      <c r="D1660" s="32">
        <f t="shared" si="266"/>
        <v>93226.84211</v>
      </c>
      <c r="E1660" s="25"/>
    </row>
    <row r="1661" ht="15.75" customHeight="1">
      <c r="A1661" s="101"/>
      <c r="B1661" s="106" t="s">
        <v>340</v>
      </c>
      <c r="C1661" s="39"/>
      <c r="D1661" s="32">
        <f>C1660-D1660</f>
        <v>-10961.84211</v>
      </c>
      <c r="E1661" s="25"/>
    </row>
    <row r="1662" ht="15.75" customHeight="1">
      <c r="A1662" s="97">
        <v>182317.0</v>
      </c>
      <c r="B1662" s="271" t="s">
        <v>341</v>
      </c>
      <c r="C1662" s="75"/>
      <c r="D1662" s="76"/>
      <c r="E1662" s="177"/>
    </row>
    <row r="1663" ht="15.75" hidden="1" customHeight="1">
      <c r="A1663" s="62">
        <v>3110.0</v>
      </c>
      <c r="B1663" s="98" t="s">
        <v>111</v>
      </c>
      <c r="C1663" s="39">
        <v>0.0</v>
      </c>
      <c r="D1663" s="22"/>
      <c r="E1663" s="25">
        <f>E1659+1</f>
        <v>74</v>
      </c>
    </row>
    <row r="1664" ht="15.75" hidden="1" customHeight="1">
      <c r="A1664" s="62">
        <v>3011.0</v>
      </c>
      <c r="B1664" s="98" t="s">
        <v>22</v>
      </c>
      <c r="C1664" s="39">
        <v>0.0</v>
      </c>
      <c r="D1664" s="22"/>
      <c r="E1664" s="25">
        <f t="shared" ref="E1664:E1667" si="267">E1663+1</f>
        <v>75</v>
      </c>
    </row>
    <row r="1665" ht="15.75" hidden="1" customHeight="1">
      <c r="A1665" s="101">
        <v>3015.0</v>
      </c>
      <c r="B1665" s="98" t="s">
        <v>142</v>
      </c>
      <c r="C1665" s="39">
        <v>0.0</v>
      </c>
      <c r="D1665" s="22"/>
      <c r="E1665" s="25">
        <f t="shared" si="267"/>
        <v>76</v>
      </c>
    </row>
    <row r="1666" ht="15.75" hidden="1" customHeight="1">
      <c r="A1666" s="101">
        <v>3030.0</v>
      </c>
      <c r="B1666" s="98" t="s">
        <v>117</v>
      </c>
      <c r="C1666" s="39">
        <v>0.0</v>
      </c>
      <c r="D1666" s="22"/>
      <c r="E1666" s="25">
        <f t="shared" si="267"/>
        <v>77</v>
      </c>
    </row>
    <row r="1667" ht="15.75" hidden="1" customHeight="1">
      <c r="A1667" s="62">
        <v>4010.0</v>
      </c>
      <c r="B1667" s="98" t="s">
        <v>48</v>
      </c>
      <c r="C1667" s="39"/>
      <c r="D1667" s="22">
        <v>0.0</v>
      </c>
      <c r="E1667" s="25">
        <f t="shared" si="267"/>
        <v>78</v>
      </c>
    </row>
    <row r="1668" ht="15.75" hidden="1" customHeight="1">
      <c r="A1668" s="62">
        <v>4047.0</v>
      </c>
      <c r="B1668" s="98" t="s">
        <v>14</v>
      </c>
      <c r="C1668" s="39"/>
      <c r="D1668" s="22">
        <v>0.0</v>
      </c>
      <c r="E1668" s="25">
        <f>E1659+1</f>
        <v>74</v>
      </c>
    </row>
    <row r="1669" ht="15.75" hidden="1" customHeight="1">
      <c r="A1669" s="62">
        <v>4010.0</v>
      </c>
      <c r="B1669" s="98" t="s">
        <v>48</v>
      </c>
      <c r="C1669" s="39"/>
      <c r="D1669" s="22">
        <v>0.0</v>
      </c>
      <c r="E1669" s="25">
        <f t="shared" ref="E1669:E1678" si="268">E1668+1</f>
        <v>75</v>
      </c>
    </row>
    <row r="1670" ht="15.75" hidden="1" customHeight="1">
      <c r="A1670" s="62">
        <v>4012.0</v>
      </c>
      <c r="B1670" s="98" t="s">
        <v>118</v>
      </c>
      <c r="C1670" s="39"/>
      <c r="D1670" s="22">
        <f>C1666/1.9</f>
        <v>0</v>
      </c>
      <c r="E1670" s="25">
        <f t="shared" si="268"/>
        <v>76</v>
      </c>
    </row>
    <row r="1671" ht="15.75" hidden="1" customHeight="1">
      <c r="A1671" s="62">
        <v>4013.0</v>
      </c>
      <c r="B1671" s="98" t="s">
        <v>98</v>
      </c>
      <c r="C1671" s="39"/>
      <c r="D1671" s="22">
        <v>0.0</v>
      </c>
      <c r="E1671" s="25">
        <f t="shared" si="268"/>
        <v>77</v>
      </c>
    </row>
    <row r="1672" ht="15.75" hidden="1" customHeight="1">
      <c r="A1672" s="62">
        <v>4060.0</v>
      </c>
      <c r="B1672" s="98" t="s">
        <v>27</v>
      </c>
      <c r="C1672" s="39"/>
      <c r="D1672" s="22">
        <v>0.0</v>
      </c>
      <c r="E1672" s="25">
        <f t="shared" si="268"/>
        <v>78</v>
      </c>
    </row>
    <row r="1673" ht="15.75" hidden="1" customHeight="1">
      <c r="A1673" s="62">
        <v>4077.0</v>
      </c>
      <c r="B1673" s="98" t="s">
        <v>328</v>
      </c>
      <c r="C1673" s="39"/>
      <c r="D1673" s="22">
        <v>0.0</v>
      </c>
      <c r="E1673" s="25">
        <f t="shared" si="268"/>
        <v>79</v>
      </c>
    </row>
    <row r="1674" ht="15.75" hidden="1" customHeight="1">
      <c r="A1674" s="62">
        <v>4082.0</v>
      </c>
      <c r="B1674" s="98" t="s">
        <v>45</v>
      </c>
      <c r="C1674" s="39"/>
      <c r="D1674" s="22">
        <v>0.0</v>
      </c>
      <c r="E1674" s="25">
        <f t="shared" si="268"/>
        <v>80</v>
      </c>
    </row>
    <row r="1675" ht="15.75" hidden="1" customHeight="1">
      <c r="A1675" s="62">
        <v>4190.0</v>
      </c>
      <c r="B1675" s="98" t="s">
        <v>32</v>
      </c>
      <c r="C1675" s="39"/>
      <c r="D1675" s="22">
        <v>0.0</v>
      </c>
      <c r="E1675" s="25">
        <f t="shared" si="268"/>
        <v>81</v>
      </c>
    </row>
    <row r="1676" ht="15.75" hidden="1" customHeight="1">
      <c r="A1676" s="62">
        <v>5461.0</v>
      </c>
      <c r="B1676" s="98" t="s">
        <v>84</v>
      </c>
      <c r="C1676" s="39"/>
      <c r="D1676" s="22">
        <v>0.0</v>
      </c>
      <c r="E1676" s="25">
        <f t="shared" si="268"/>
        <v>82</v>
      </c>
    </row>
    <row r="1677" ht="15.75" hidden="1" customHeight="1">
      <c r="A1677" s="62">
        <v>6800.0</v>
      </c>
      <c r="B1677" s="98" t="s">
        <v>114</v>
      </c>
      <c r="C1677" s="39"/>
      <c r="D1677" s="22">
        <v>0.0</v>
      </c>
      <c r="E1677" s="25">
        <f t="shared" si="268"/>
        <v>83</v>
      </c>
    </row>
    <row r="1678" ht="15.75" hidden="1" customHeight="1">
      <c r="A1678" s="154">
        <v>6993.0</v>
      </c>
      <c r="B1678" s="65" t="s">
        <v>115</v>
      </c>
      <c r="C1678" s="39"/>
      <c r="D1678" s="22">
        <v>0.0</v>
      </c>
      <c r="E1678" s="25">
        <f t="shared" si="268"/>
        <v>84</v>
      </c>
    </row>
    <row r="1679" ht="15.75" hidden="1" customHeight="1">
      <c r="A1679" s="101"/>
      <c r="B1679" s="106" t="s">
        <v>19</v>
      </c>
      <c r="C1679" s="31">
        <f t="shared" ref="C1679:D1679" si="269">SUM(C1663:C1678)</f>
        <v>0</v>
      </c>
      <c r="D1679" s="32">
        <f t="shared" si="269"/>
        <v>0</v>
      </c>
      <c r="E1679" s="25"/>
    </row>
    <row r="1680" ht="15.75" hidden="1" customHeight="1">
      <c r="A1680" s="101"/>
      <c r="B1680" s="136" t="s">
        <v>20</v>
      </c>
      <c r="C1680" s="39"/>
      <c r="D1680" s="32">
        <f>C1679-D1679</f>
        <v>0</v>
      </c>
      <c r="E1680" s="40"/>
    </row>
    <row r="1681" ht="15.75" customHeight="1">
      <c r="A1681" s="97">
        <v>182319.0</v>
      </c>
      <c r="B1681" s="283" t="s">
        <v>342</v>
      </c>
      <c r="C1681" s="75"/>
      <c r="D1681" s="76"/>
      <c r="E1681" s="177"/>
    </row>
    <row r="1682" ht="15.75" hidden="1" customHeight="1">
      <c r="A1682" s="62">
        <v>4010.0</v>
      </c>
      <c r="B1682" s="98" t="s">
        <v>48</v>
      </c>
      <c r="C1682" s="39"/>
      <c r="D1682" s="22">
        <v>0.0</v>
      </c>
      <c r="E1682" s="25">
        <f>E1678+1</f>
        <v>85</v>
      </c>
    </row>
    <row r="1683" ht="15.75" hidden="1" customHeight="1">
      <c r="A1683" s="163">
        <v>4060.0</v>
      </c>
      <c r="B1683" s="207" t="s">
        <v>27</v>
      </c>
      <c r="C1683" s="39"/>
      <c r="D1683" s="22">
        <v>0.0</v>
      </c>
      <c r="E1683" s="25">
        <f t="shared" ref="E1683:E1686" si="270">E1682+1</f>
        <v>86</v>
      </c>
    </row>
    <row r="1684" ht="15.75" hidden="1" customHeight="1">
      <c r="A1684" s="101">
        <v>4076.0</v>
      </c>
      <c r="B1684" s="102" t="s">
        <v>29</v>
      </c>
      <c r="C1684" s="39"/>
      <c r="D1684" s="22">
        <v>0.0</v>
      </c>
      <c r="E1684" s="25">
        <f t="shared" si="270"/>
        <v>87</v>
      </c>
    </row>
    <row r="1685" ht="15.75" hidden="1" customHeight="1">
      <c r="A1685" s="101">
        <v>4082.0</v>
      </c>
      <c r="B1685" s="102" t="s">
        <v>45</v>
      </c>
      <c r="C1685" s="31"/>
      <c r="D1685" s="22">
        <v>0.0</v>
      </c>
      <c r="E1685" s="25">
        <f t="shared" si="270"/>
        <v>88</v>
      </c>
    </row>
    <row r="1686" ht="15.75" hidden="1" customHeight="1">
      <c r="A1686" s="101">
        <v>4190.0</v>
      </c>
      <c r="B1686" s="102" t="s">
        <v>32</v>
      </c>
      <c r="C1686" s="31"/>
      <c r="D1686" s="22">
        <v>0.0</v>
      </c>
      <c r="E1686" s="25">
        <f t="shared" si="270"/>
        <v>89</v>
      </c>
    </row>
    <row r="1687" ht="15.75" hidden="1" customHeight="1">
      <c r="A1687" s="101"/>
      <c r="B1687" s="106" t="s">
        <v>19</v>
      </c>
      <c r="C1687" s="31">
        <f t="shared" ref="C1687:D1687" si="271">SUM(C1682:C1686)</f>
        <v>0</v>
      </c>
      <c r="D1687" s="32">
        <f t="shared" si="271"/>
        <v>0</v>
      </c>
      <c r="E1687" s="25"/>
    </row>
    <row r="1688" ht="15.75" hidden="1" customHeight="1">
      <c r="A1688" s="101"/>
      <c r="B1688" s="136" t="s">
        <v>20</v>
      </c>
      <c r="C1688" s="31"/>
      <c r="D1688" s="32">
        <f>C1687-D1687</f>
        <v>0</v>
      </c>
      <c r="E1688" s="40"/>
    </row>
    <row r="1689" ht="15.75" customHeight="1">
      <c r="A1689" s="182">
        <v>182390.0</v>
      </c>
      <c r="B1689" s="288" t="s">
        <v>343</v>
      </c>
      <c r="C1689" s="291"/>
      <c r="D1689" s="288"/>
      <c r="E1689" s="292"/>
    </row>
    <row r="1690" ht="15.75" customHeight="1">
      <c r="A1690" s="154">
        <v>3010.0</v>
      </c>
      <c r="B1690" s="221" t="s">
        <v>2</v>
      </c>
      <c r="C1690" s="284">
        <v>2500.0</v>
      </c>
      <c r="D1690" s="57"/>
      <c r="E1690" s="25">
        <f>E1668+1</f>
        <v>75</v>
      </c>
    </row>
    <row r="1691" ht="15.75" customHeight="1">
      <c r="A1691" s="154">
        <v>3011.0</v>
      </c>
      <c r="B1691" s="65" t="s">
        <v>22</v>
      </c>
      <c r="C1691" s="284">
        <v>0.0</v>
      </c>
      <c r="D1691" s="57"/>
      <c r="E1691" s="25">
        <f t="shared" ref="E1691:E1697" si="272">E1690+1</f>
        <v>76</v>
      </c>
    </row>
    <row r="1692" ht="15.75" customHeight="1">
      <c r="A1692" s="154">
        <v>4013.0</v>
      </c>
      <c r="B1692" s="221" t="s">
        <v>98</v>
      </c>
      <c r="C1692" s="284"/>
      <c r="D1692" s="57">
        <f>5*5*40</f>
        <v>1000</v>
      </c>
      <c r="E1692" s="25">
        <f t="shared" si="272"/>
        <v>77</v>
      </c>
    </row>
    <row r="1693" ht="15.75" customHeight="1">
      <c r="A1693" s="152">
        <v>4047.0</v>
      </c>
      <c r="B1693" s="65" t="s">
        <v>14</v>
      </c>
      <c r="C1693" s="284"/>
      <c r="D1693" s="57">
        <v>2500.0</v>
      </c>
      <c r="E1693" s="25">
        <f t="shared" si="272"/>
        <v>78</v>
      </c>
    </row>
    <row r="1694" ht="15.75" customHeight="1">
      <c r="A1694" s="154">
        <v>4060.0</v>
      </c>
      <c r="B1694" s="221" t="s">
        <v>27</v>
      </c>
      <c r="C1694" s="284"/>
      <c r="D1694" s="57">
        <f>13*200+50*13</f>
        <v>3250</v>
      </c>
      <c r="E1694" s="25">
        <f t="shared" si="272"/>
        <v>79</v>
      </c>
    </row>
    <row r="1695" ht="15.75" customHeight="1">
      <c r="A1695" s="154">
        <v>4082.0</v>
      </c>
      <c r="B1695" s="221" t="s">
        <v>45</v>
      </c>
      <c r="C1695" s="284"/>
      <c r="D1695" s="57">
        <f>13*100</f>
        <v>1300</v>
      </c>
      <c r="E1695" s="25">
        <f t="shared" si="272"/>
        <v>80</v>
      </c>
    </row>
    <row r="1696" ht="15.75" customHeight="1">
      <c r="A1696" s="154">
        <v>4190.0</v>
      </c>
      <c r="B1696" s="221" t="s">
        <v>32</v>
      </c>
      <c r="C1696" s="284"/>
      <c r="D1696" s="57">
        <f>3*300+10*100</f>
        <v>1900</v>
      </c>
      <c r="E1696" s="25">
        <f t="shared" si="272"/>
        <v>81</v>
      </c>
    </row>
    <row r="1697" ht="15.75" customHeight="1">
      <c r="A1697" s="154">
        <v>5461.0</v>
      </c>
      <c r="B1697" s="221" t="s">
        <v>84</v>
      </c>
      <c r="C1697" s="284"/>
      <c r="D1697" s="157">
        <f>2000+2000</f>
        <v>4000</v>
      </c>
      <c r="E1697" s="25">
        <f t="shared" si="272"/>
        <v>82</v>
      </c>
    </row>
    <row r="1698" ht="15.75" customHeight="1">
      <c r="A1698" s="154"/>
      <c r="B1698" s="256" t="s">
        <v>19</v>
      </c>
      <c r="C1698" s="284">
        <f t="shared" ref="C1698:D1698" si="273">SUM(C1690:C1697)</f>
        <v>2500</v>
      </c>
      <c r="D1698" s="32">
        <f t="shared" si="273"/>
        <v>13950</v>
      </c>
      <c r="E1698" s="293"/>
    </row>
    <row r="1699" ht="15.75" customHeight="1">
      <c r="A1699" s="154"/>
      <c r="B1699" s="256" t="s">
        <v>247</v>
      </c>
      <c r="C1699" s="284"/>
      <c r="D1699" s="32">
        <f>C1698-D1698</f>
        <v>-11450</v>
      </c>
      <c r="E1699" s="293"/>
    </row>
    <row r="1700" ht="15.75" customHeight="1">
      <c r="A1700" s="97">
        <v>182324.0</v>
      </c>
      <c r="B1700" s="283" t="s">
        <v>344</v>
      </c>
      <c r="C1700" s="75"/>
      <c r="D1700" s="76"/>
      <c r="E1700" s="177"/>
    </row>
    <row r="1701" ht="15.75" customHeight="1">
      <c r="A1701" s="101">
        <v>3030.0</v>
      </c>
      <c r="B1701" s="102" t="s">
        <v>117</v>
      </c>
      <c r="C1701" s="68">
        <f>1500*1.13</f>
        <v>1695</v>
      </c>
      <c r="D1701" s="22"/>
      <c r="E1701" s="25">
        <f>E1697+1</f>
        <v>83</v>
      </c>
    </row>
    <row r="1702" ht="15.75" customHeight="1">
      <c r="A1702" s="101">
        <v>4012.0</v>
      </c>
      <c r="B1702" s="102" t="s">
        <v>118</v>
      </c>
      <c r="C1702" s="39"/>
      <c r="D1702" s="22">
        <f>C1701/1.9</f>
        <v>892.1052632</v>
      </c>
      <c r="E1702" s="25">
        <f t="shared" ref="E1702:E1707" si="274">E1701+1</f>
        <v>84</v>
      </c>
    </row>
    <row r="1703" ht="15.75" customHeight="1">
      <c r="A1703" s="62">
        <v>4047.0</v>
      </c>
      <c r="B1703" s="98" t="s">
        <v>14</v>
      </c>
      <c r="C1703" s="31"/>
      <c r="D1703" s="29">
        <v>3000.0</v>
      </c>
      <c r="E1703" s="25">
        <f t="shared" si="274"/>
        <v>85</v>
      </c>
    </row>
    <row r="1704" ht="15.75" customHeight="1">
      <c r="A1704" s="101">
        <v>4060.0</v>
      </c>
      <c r="B1704" s="102" t="s">
        <v>27</v>
      </c>
      <c r="C1704" s="31"/>
      <c r="D1704" s="22">
        <f>4*200+50*4</f>
        <v>1000</v>
      </c>
      <c r="E1704" s="25">
        <f t="shared" si="274"/>
        <v>86</v>
      </c>
    </row>
    <row r="1705" ht="15.75" customHeight="1">
      <c r="A1705" s="101">
        <v>4082.0</v>
      </c>
      <c r="B1705" s="102" t="s">
        <v>45</v>
      </c>
      <c r="C1705" s="31"/>
      <c r="D1705" s="22">
        <f>4*100</f>
        <v>400</v>
      </c>
      <c r="E1705" s="25">
        <f t="shared" si="274"/>
        <v>87</v>
      </c>
    </row>
    <row r="1706" ht="15.75" customHeight="1">
      <c r="A1706" s="101">
        <v>4190.0</v>
      </c>
      <c r="B1706" s="102" t="s">
        <v>32</v>
      </c>
      <c r="C1706" s="31"/>
      <c r="D1706" s="22">
        <f>1*300+3*200</f>
        <v>900</v>
      </c>
      <c r="E1706" s="25">
        <f t="shared" si="274"/>
        <v>88</v>
      </c>
    </row>
    <row r="1707" ht="15.75" customHeight="1">
      <c r="A1707" s="152">
        <v>5420.0</v>
      </c>
      <c r="B1707" s="65" t="s">
        <v>134</v>
      </c>
      <c r="C1707" s="31"/>
      <c r="D1707" s="29">
        <v>1000.0</v>
      </c>
      <c r="E1707" s="40">
        <f t="shared" si="274"/>
        <v>89</v>
      </c>
    </row>
    <row r="1708" ht="15.75" customHeight="1">
      <c r="A1708" s="101"/>
      <c r="B1708" s="136" t="s">
        <v>19</v>
      </c>
      <c r="C1708" s="31">
        <f>SUM(C1701:C1706)</f>
        <v>1695</v>
      </c>
      <c r="D1708" s="32">
        <f>SUM(D1701:D1707)</f>
        <v>7192.105263</v>
      </c>
      <c r="E1708" s="40"/>
    </row>
    <row r="1709" ht="15.75" customHeight="1">
      <c r="A1709" s="101"/>
      <c r="B1709" s="136" t="s">
        <v>247</v>
      </c>
      <c r="C1709" s="31"/>
      <c r="D1709" s="32">
        <f>C1708-D1708</f>
        <v>-5497.105263</v>
      </c>
      <c r="E1709" s="40"/>
    </row>
    <row r="1710" ht="15.75" customHeight="1">
      <c r="A1710" s="277"/>
      <c r="B1710" s="278" t="s">
        <v>345</v>
      </c>
      <c r="C1710" s="279"/>
      <c r="D1710" s="280"/>
      <c r="E1710" s="281"/>
    </row>
    <row r="1711" ht="15.75" customHeight="1">
      <c r="A1711" s="97">
        <v>182330.0</v>
      </c>
      <c r="B1711" s="271" t="s">
        <v>346</v>
      </c>
      <c r="C1711" s="75"/>
      <c r="D1711" s="76"/>
      <c r="E1711" s="177"/>
    </row>
    <row r="1712" ht="15.75" customHeight="1">
      <c r="A1712" s="99">
        <v>3030.0</v>
      </c>
      <c r="B1712" s="98" t="s">
        <v>117</v>
      </c>
      <c r="C1712" s="68">
        <f>10000*1.13</f>
        <v>11300</v>
      </c>
      <c r="D1712" s="22"/>
      <c r="E1712" s="25">
        <f>E1707+1</f>
        <v>90</v>
      </c>
    </row>
    <row r="1713" ht="15.75" customHeight="1">
      <c r="A1713" s="99">
        <v>4012.0</v>
      </c>
      <c r="B1713" s="98" t="s">
        <v>118</v>
      </c>
      <c r="C1713" s="39"/>
      <c r="D1713" s="22">
        <f>C1712/1.9</f>
        <v>5947.368421</v>
      </c>
      <c r="E1713" s="25">
        <f t="shared" ref="E1713:E1715" si="275">E1712+1</f>
        <v>91</v>
      </c>
    </row>
    <row r="1714" ht="15.75" customHeight="1">
      <c r="A1714" s="99">
        <v>4013.0</v>
      </c>
      <c r="B1714" s="102" t="s">
        <v>98</v>
      </c>
      <c r="C1714" s="39"/>
      <c r="D1714" s="22">
        <f>40*8*1</f>
        <v>320</v>
      </c>
      <c r="E1714" s="25">
        <f t="shared" si="275"/>
        <v>92</v>
      </c>
    </row>
    <row r="1715" ht="15.75" customHeight="1">
      <c r="A1715" s="99">
        <v>4060.0</v>
      </c>
      <c r="B1715" s="98" t="s">
        <v>27</v>
      </c>
      <c r="C1715" s="39"/>
      <c r="D1715" s="22">
        <f>6*200+50*6</f>
        <v>1500</v>
      </c>
      <c r="E1715" s="25">
        <f t="shared" si="275"/>
        <v>93</v>
      </c>
    </row>
    <row r="1716" ht="15.75" customHeight="1">
      <c r="A1716" s="99">
        <v>4076.0</v>
      </c>
      <c r="B1716" s="98" t="s">
        <v>29</v>
      </c>
      <c r="C1716" s="39"/>
      <c r="D1716" s="29">
        <v>500.0</v>
      </c>
      <c r="E1716" s="25">
        <f>E1714+1</f>
        <v>93</v>
      </c>
    </row>
    <row r="1717" ht="15.75" customHeight="1">
      <c r="A1717" s="99">
        <v>4078.0</v>
      </c>
      <c r="B1717" s="98" t="s">
        <v>30</v>
      </c>
      <c r="C1717" s="39"/>
      <c r="D1717" s="29">
        <v>500.0</v>
      </c>
      <c r="E1717" s="25">
        <f t="shared" ref="E1717:E1720" si="276">E1716+1</f>
        <v>94</v>
      </c>
    </row>
    <row r="1718" ht="15.75" customHeight="1">
      <c r="A1718" s="99">
        <v>4190.0</v>
      </c>
      <c r="B1718" s="98" t="s">
        <v>32</v>
      </c>
      <c r="C1718" s="39"/>
      <c r="D1718" s="22">
        <f>6*400</f>
        <v>2400</v>
      </c>
      <c r="E1718" s="25">
        <f t="shared" si="276"/>
        <v>95</v>
      </c>
    </row>
    <row r="1719" ht="15.75" customHeight="1">
      <c r="A1719" s="99">
        <v>4082.0</v>
      </c>
      <c r="B1719" s="98" t="s">
        <v>45</v>
      </c>
      <c r="C1719" s="39"/>
      <c r="D1719" s="22">
        <f>6*200</f>
        <v>1200</v>
      </c>
      <c r="E1719" s="25">
        <f t="shared" si="276"/>
        <v>96</v>
      </c>
    </row>
    <row r="1720" ht="15.75" customHeight="1">
      <c r="A1720" s="101">
        <v>5810.0</v>
      </c>
      <c r="B1720" s="102" t="s">
        <v>34</v>
      </c>
      <c r="C1720" s="31"/>
      <c r="D1720" s="29">
        <v>1000.0</v>
      </c>
      <c r="E1720" s="25">
        <f t="shared" si="276"/>
        <v>97</v>
      </c>
    </row>
    <row r="1721" ht="15.75" customHeight="1">
      <c r="A1721" s="99"/>
      <c r="B1721" s="106" t="s">
        <v>19</v>
      </c>
      <c r="C1721" s="31">
        <f t="shared" ref="C1721:D1721" si="277">SUM(C1712:C1720)</f>
        <v>11300</v>
      </c>
      <c r="D1721" s="32">
        <f t="shared" si="277"/>
        <v>13367.36842</v>
      </c>
      <c r="E1721" s="25"/>
    </row>
    <row r="1722" ht="15.75" customHeight="1">
      <c r="A1722" s="99"/>
      <c r="B1722" s="136" t="s">
        <v>20</v>
      </c>
      <c r="C1722" s="39"/>
      <c r="D1722" s="32">
        <f>C1721-D1721</f>
        <v>-2067.368421</v>
      </c>
      <c r="E1722" s="25"/>
    </row>
    <row r="1723" ht="15.75" customHeight="1">
      <c r="A1723" s="97">
        <v>182351.0</v>
      </c>
      <c r="B1723" s="271" t="s">
        <v>347</v>
      </c>
      <c r="C1723" s="75"/>
      <c r="D1723" s="85"/>
      <c r="E1723" s="37"/>
    </row>
    <row r="1724" ht="15.75" customHeight="1">
      <c r="A1724" s="62">
        <v>3011.0</v>
      </c>
      <c r="B1724" s="98" t="s">
        <v>22</v>
      </c>
      <c r="C1724" s="39">
        <f>(262*450)+(150*70)</f>
        <v>128400</v>
      </c>
      <c r="D1724" s="22"/>
      <c r="E1724" s="25">
        <f>E1720+1</f>
        <v>98</v>
      </c>
    </row>
    <row r="1725" ht="15.75" customHeight="1">
      <c r="A1725" s="62">
        <v>3014.0</v>
      </c>
      <c r="B1725" s="98" t="s">
        <v>55</v>
      </c>
      <c r="C1725" s="39">
        <f>450*8</f>
        <v>3600</v>
      </c>
      <c r="D1725" s="22"/>
      <c r="E1725" s="25">
        <f t="shared" ref="E1725:E1737" si="278">E1724+1</f>
        <v>99</v>
      </c>
    </row>
    <row r="1726" ht="15.75" customHeight="1">
      <c r="A1726" s="62">
        <v>3030.0</v>
      </c>
      <c r="B1726" s="98" t="s">
        <v>117</v>
      </c>
      <c r="C1726" s="39">
        <f>35000*1.13</f>
        <v>39550</v>
      </c>
      <c r="D1726" s="22"/>
      <c r="E1726" s="25">
        <f t="shared" si="278"/>
        <v>100</v>
      </c>
    </row>
    <row r="1727" ht="15.75" customHeight="1">
      <c r="A1727" s="62">
        <v>4010.0</v>
      </c>
      <c r="B1727" s="98" t="s">
        <v>48</v>
      </c>
      <c r="C1727" s="39"/>
      <c r="D1727" s="29">
        <v>5500.0</v>
      </c>
      <c r="E1727" s="25">
        <f t="shared" si="278"/>
        <v>101</v>
      </c>
    </row>
    <row r="1728" ht="15.75" customHeight="1">
      <c r="A1728" s="62">
        <v>4012.0</v>
      </c>
      <c r="B1728" s="98" t="s">
        <v>118</v>
      </c>
      <c r="C1728" s="39"/>
      <c r="D1728" s="22">
        <f>C1726/1.9</f>
        <v>20815.78947</v>
      </c>
      <c r="E1728" s="25">
        <f t="shared" si="278"/>
        <v>102</v>
      </c>
    </row>
    <row r="1729" ht="15.75" customHeight="1">
      <c r="A1729" s="62">
        <v>4013.0</v>
      </c>
      <c r="B1729" s="98" t="s">
        <v>98</v>
      </c>
      <c r="C1729" s="39"/>
      <c r="D1729" s="22">
        <f>140*45</f>
        <v>6300</v>
      </c>
      <c r="E1729" s="25">
        <f t="shared" si="278"/>
        <v>103</v>
      </c>
    </row>
    <row r="1730" ht="15.75" customHeight="1">
      <c r="A1730" s="62">
        <v>4076.0</v>
      </c>
      <c r="B1730" s="98" t="s">
        <v>29</v>
      </c>
      <c r="C1730" s="39"/>
      <c r="D1730" s="22">
        <f>400*270</f>
        <v>108000</v>
      </c>
      <c r="E1730" s="25">
        <f t="shared" si="278"/>
        <v>104</v>
      </c>
    </row>
    <row r="1731" ht="15.75" customHeight="1">
      <c r="A1731" s="62">
        <v>4078.0</v>
      </c>
      <c r="B1731" s="98" t="s">
        <v>30</v>
      </c>
      <c r="C1731" s="39"/>
      <c r="D1731" s="22">
        <v>9000.0</v>
      </c>
      <c r="E1731" s="25">
        <f t="shared" si="278"/>
        <v>105</v>
      </c>
    </row>
    <row r="1732" ht="15.75" customHeight="1">
      <c r="A1732" s="101">
        <v>5010.0</v>
      </c>
      <c r="B1732" s="102" t="s">
        <v>61</v>
      </c>
      <c r="C1732" s="39"/>
      <c r="D1732" s="22">
        <v>0.0</v>
      </c>
      <c r="E1732" s="25">
        <f t="shared" si="278"/>
        <v>106</v>
      </c>
    </row>
    <row r="1733" ht="15.75" customHeight="1">
      <c r="A1733" s="62">
        <v>5061.0</v>
      </c>
      <c r="B1733" s="98" t="s">
        <v>82</v>
      </c>
      <c r="C1733" s="39"/>
      <c r="D1733" s="29">
        <v>5000.0</v>
      </c>
      <c r="E1733" s="25">
        <f t="shared" si="278"/>
        <v>107</v>
      </c>
    </row>
    <row r="1734" ht="15.75" customHeight="1">
      <c r="A1734" s="62">
        <v>5461.0</v>
      </c>
      <c r="B1734" s="98" t="s">
        <v>84</v>
      </c>
      <c r="C1734" s="39"/>
      <c r="D1734" s="22">
        <v>0.0</v>
      </c>
      <c r="E1734" s="25">
        <f t="shared" si="278"/>
        <v>108</v>
      </c>
    </row>
    <row r="1735" ht="15.75" customHeight="1">
      <c r="A1735" s="62">
        <v>6071.0</v>
      </c>
      <c r="B1735" s="98" t="s">
        <v>36</v>
      </c>
      <c r="C1735" s="39"/>
      <c r="D1735" s="22">
        <f>C1725</f>
        <v>3600</v>
      </c>
      <c r="E1735" s="25">
        <f t="shared" si="278"/>
        <v>109</v>
      </c>
    </row>
    <row r="1736" ht="15.75" customHeight="1">
      <c r="A1736" s="62">
        <v>6800.0</v>
      </c>
      <c r="B1736" s="98" t="s">
        <v>114</v>
      </c>
      <c r="C1736" s="39"/>
      <c r="D1736" s="22">
        <f>6*9.5*547.5+2*6*547.5</f>
        <v>37777.5</v>
      </c>
      <c r="E1736" s="25">
        <f t="shared" si="278"/>
        <v>110</v>
      </c>
    </row>
    <row r="1737" ht="15.75" customHeight="1">
      <c r="A1737" s="62">
        <v>6993.0</v>
      </c>
      <c r="B1737" s="98" t="s">
        <v>115</v>
      </c>
      <c r="C1737" s="39"/>
      <c r="D1737" s="22">
        <f>262*12.5</f>
        <v>3275</v>
      </c>
      <c r="E1737" s="25">
        <f t="shared" si="278"/>
        <v>111</v>
      </c>
    </row>
    <row r="1738" ht="15.75" customHeight="1">
      <c r="A1738" s="101"/>
      <c r="B1738" s="106" t="s">
        <v>19</v>
      </c>
      <c r="C1738" s="31">
        <f t="shared" ref="C1738:D1738" si="279">SUM(C1724:C1737)</f>
        <v>171550</v>
      </c>
      <c r="D1738" s="32">
        <f t="shared" si="279"/>
        <v>199268.2895</v>
      </c>
      <c r="E1738" s="25"/>
    </row>
    <row r="1739" ht="15.75" customHeight="1">
      <c r="A1739" s="101"/>
      <c r="B1739" s="136" t="s">
        <v>20</v>
      </c>
      <c r="C1739" s="39"/>
      <c r="D1739" s="32">
        <f>C1738-D1738</f>
        <v>-27718.28947</v>
      </c>
      <c r="E1739" s="40"/>
    </row>
    <row r="1740" ht="15.75" customHeight="1">
      <c r="A1740" s="97">
        <v>182331.0</v>
      </c>
      <c r="B1740" s="271" t="s">
        <v>348</v>
      </c>
      <c r="C1740" s="75"/>
      <c r="D1740" s="76"/>
      <c r="E1740" s="177"/>
    </row>
    <row r="1741" ht="15.75" customHeight="1">
      <c r="A1741" s="101">
        <v>3011.0</v>
      </c>
      <c r="B1741" s="102" t="s">
        <v>22</v>
      </c>
      <c r="C1741" s="294">
        <f>170*160+200*140</f>
        <v>55200</v>
      </c>
      <c r="D1741" s="295"/>
      <c r="E1741" s="296">
        <f>E1737+1</f>
        <v>112</v>
      </c>
    </row>
    <row r="1742" ht="15.75" customHeight="1">
      <c r="A1742" s="101">
        <v>3030.0</v>
      </c>
      <c r="B1742" s="102" t="s">
        <v>117</v>
      </c>
      <c r="C1742" s="297">
        <v>0.0</v>
      </c>
      <c r="D1742" s="295"/>
      <c r="E1742" s="296">
        <f>E1741+1</f>
        <v>113</v>
      </c>
    </row>
    <row r="1743" ht="15.75" customHeight="1">
      <c r="A1743" s="163">
        <v>4010.0</v>
      </c>
      <c r="B1743" s="298" t="s">
        <v>48</v>
      </c>
      <c r="C1743" s="299"/>
      <c r="D1743" s="300">
        <v>0.0</v>
      </c>
      <c r="E1743" s="296">
        <f t="shared" ref="E1743:E1744" si="280">E1742+1</f>
        <v>114</v>
      </c>
    </row>
    <row r="1744" ht="15.75" customHeight="1">
      <c r="A1744" s="101">
        <v>4012.0</v>
      </c>
      <c r="B1744" s="102" t="s">
        <v>118</v>
      </c>
      <c r="C1744" s="299"/>
      <c r="D1744" s="300">
        <v>0.0</v>
      </c>
      <c r="E1744" s="296">
        <f t="shared" si="280"/>
        <v>115</v>
      </c>
    </row>
    <row r="1745" ht="15.75" customHeight="1">
      <c r="A1745" s="101">
        <v>4013.0</v>
      </c>
      <c r="B1745" s="102" t="s">
        <v>98</v>
      </c>
      <c r="C1745" s="299"/>
      <c r="D1745" s="211">
        <f>100*8</f>
        <v>800</v>
      </c>
      <c r="E1745" s="296">
        <f t="shared" ref="E1745:E1746" si="281">E1744+1</f>
        <v>116</v>
      </c>
    </row>
    <row r="1746" ht="15.75" customHeight="1">
      <c r="A1746" s="101">
        <v>4076.0</v>
      </c>
      <c r="B1746" s="102" t="s">
        <v>29</v>
      </c>
      <c r="C1746" s="299"/>
      <c r="D1746" s="300">
        <v>0.0</v>
      </c>
      <c r="E1746" s="296">
        <f t="shared" si="281"/>
        <v>117</v>
      </c>
    </row>
    <row r="1747" ht="15.75" customHeight="1">
      <c r="A1747" s="163">
        <v>4077.0</v>
      </c>
      <c r="B1747" s="207" t="s">
        <v>328</v>
      </c>
      <c r="C1747" s="299"/>
      <c r="D1747" s="300">
        <v>4000.0</v>
      </c>
      <c r="E1747" s="296">
        <f t="shared" ref="E1747:E1748" si="282">E1746+1</f>
        <v>118</v>
      </c>
    </row>
    <row r="1748" ht="15.75" customHeight="1">
      <c r="A1748" s="101">
        <v>4078.0</v>
      </c>
      <c r="B1748" s="102" t="s">
        <v>30</v>
      </c>
      <c r="C1748" s="299"/>
      <c r="D1748" s="300">
        <v>4000.0</v>
      </c>
      <c r="E1748" s="296">
        <f t="shared" si="282"/>
        <v>119</v>
      </c>
    </row>
    <row r="1749" ht="15.75" customHeight="1">
      <c r="A1749" s="101">
        <v>5010.0</v>
      </c>
      <c r="B1749" s="102" t="s">
        <v>61</v>
      </c>
      <c r="C1749" s="299"/>
      <c r="D1749" s="300">
        <v>6250.0</v>
      </c>
      <c r="E1749" s="296">
        <f>E1748+1</f>
        <v>120</v>
      </c>
    </row>
    <row r="1750" ht="15.75" customHeight="1">
      <c r="A1750" s="101">
        <v>5810.0</v>
      </c>
      <c r="B1750" s="102" t="s">
        <v>34</v>
      </c>
      <c r="C1750" s="299"/>
      <c r="D1750" s="300">
        <v>25000.0</v>
      </c>
      <c r="E1750" s="301">
        <v>118.0</v>
      </c>
    </row>
    <row r="1751" ht="15.75" customHeight="1">
      <c r="A1751" s="101">
        <v>6071.0</v>
      </c>
      <c r="B1751" s="102" t="s">
        <v>36</v>
      </c>
      <c r="C1751" s="299"/>
      <c r="D1751" s="300">
        <v>0.0</v>
      </c>
      <c r="E1751" s="296">
        <f>E1750+1</f>
        <v>119</v>
      </c>
    </row>
    <row r="1752" ht="15.75" customHeight="1">
      <c r="A1752" s="101">
        <v>6800.0</v>
      </c>
      <c r="B1752" s="102" t="s">
        <v>114</v>
      </c>
      <c r="C1752" s="299"/>
      <c r="D1752" s="211">
        <v>0.0</v>
      </c>
      <c r="E1752" s="296">
        <f>E1751+1</f>
        <v>120</v>
      </c>
    </row>
    <row r="1753" ht="15.75" customHeight="1">
      <c r="A1753" s="101">
        <v>6993.0</v>
      </c>
      <c r="B1753" s="100" t="s">
        <v>115</v>
      </c>
      <c r="C1753" s="302"/>
      <c r="D1753" s="211">
        <f>380*12.5</f>
        <v>4750</v>
      </c>
      <c r="E1753" s="296">
        <f>E1752+1</f>
        <v>121</v>
      </c>
    </row>
    <row r="1754" ht="15.75" customHeight="1">
      <c r="A1754" s="101"/>
      <c r="B1754" s="106" t="s">
        <v>19</v>
      </c>
      <c r="C1754" s="31">
        <f t="shared" ref="C1754:D1754" si="283">SUM(C1741:C1753)</f>
        <v>55200</v>
      </c>
      <c r="D1754" s="32">
        <f t="shared" si="283"/>
        <v>44800</v>
      </c>
      <c r="E1754" s="25"/>
    </row>
    <row r="1755" ht="15.75" customHeight="1">
      <c r="A1755" s="101"/>
      <c r="B1755" s="136" t="s">
        <v>20</v>
      </c>
      <c r="C1755" s="39"/>
      <c r="D1755" s="32">
        <f>C1754-D1754</f>
        <v>10400</v>
      </c>
      <c r="E1755" s="40"/>
    </row>
    <row r="1756" ht="15.75" customHeight="1">
      <c r="A1756" s="97">
        <v>182332.0</v>
      </c>
      <c r="B1756" s="271" t="s">
        <v>349</v>
      </c>
      <c r="C1756" s="75"/>
      <c r="D1756" s="76"/>
      <c r="E1756" s="177"/>
    </row>
    <row r="1757" ht="15.75" customHeight="1">
      <c r="A1757" s="62">
        <v>3011.0</v>
      </c>
      <c r="B1757" s="98" t="s">
        <v>22</v>
      </c>
      <c r="C1757" s="39">
        <f>100*200+200*70</f>
        <v>34000</v>
      </c>
      <c r="D1757" s="22"/>
      <c r="E1757" s="25">
        <f>E1753+1</f>
        <v>122</v>
      </c>
    </row>
    <row r="1758" ht="15.75" customHeight="1">
      <c r="A1758" s="62">
        <v>3014.0</v>
      </c>
      <c r="B1758" s="98" t="s">
        <v>55</v>
      </c>
      <c r="C1758" s="39">
        <f>5*200</f>
        <v>1000</v>
      </c>
      <c r="D1758" s="22"/>
      <c r="E1758" s="25">
        <f t="shared" ref="E1758:E1767" si="284">E1757+1</f>
        <v>123</v>
      </c>
    </row>
    <row r="1759" ht="15.75" customHeight="1">
      <c r="A1759" s="62">
        <v>3030.0</v>
      </c>
      <c r="B1759" s="98" t="s">
        <v>117</v>
      </c>
      <c r="C1759" s="68">
        <f>22000*1.13</f>
        <v>24860</v>
      </c>
      <c r="D1759" s="22"/>
      <c r="E1759" s="25">
        <f t="shared" si="284"/>
        <v>124</v>
      </c>
    </row>
    <row r="1760" ht="15.75" customHeight="1">
      <c r="A1760" s="163">
        <v>4010.0</v>
      </c>
      <c r="B1760" s="298" t="s">
        <v>48</v>
      </c>
      <c r="C1760" s="39"/>
      <c r="D1760" s="29">
        <v>5500.0</v>
      </c>
      <c r="E1760" s="25">
        <f t="shared" si="284"/>
        <v>125</v>
      </c>
    </row>
    <row r="1761" ht="15.75" customHeight="1">
      <c r="A1761" s="62">
        <v>4012.0</v>
      </c>
      <c r="B1761" s="98" t="s">
        <v>118</v>
      </c>
      <c r="C1761" s="39"/>
      <c r="D1761" s="22">
        <f>C1759/1.9</f>
        <v>13084.21053</v>
      </c>
      <c r="E1761" s="25">
        <f t="shared" si="284"/>
        <v>126</v>
      </c>
    </row>
    <row r="1762" ht="15.75" customHeight="1">
      <c r="A1762" s="62">
        <v>4013.0</v>
      </c>
      <c r="B1762" s="98" t="s">
        <v>98</v>
      </c>
      <c r="C1762" s="39"/>
      <c r="D1762" s="22">
        <f>21*100</f>
        <v>2100</v>
      </c>
      <c r="E1762" s="25">
        <f t="shared" si="284"/>
        <v>127</v>
      </c>
    </row>
    <row r="1763" ht="15.75" customHeight="1">
      <c r="A1763" s="62">
        <v>4076.0</v>
      </c>
      <c r="B1763" s="98" t="s">
        <v>29</v>
      </c>
      <c r="C1763" s="39"/>
      <c r="D1763" s="22">
        <f>100*200</f>
        <v>20000</v>
      </c>
      <c r="E1763" s="25">
        <f t="shared" si="284"/>
        <v>128</v>
      </c>
    </row>
    <row r="1764" ht="15.75" customHeight="1">
      <c r="A1764" s="62">
        <v>4078.0</v>
      </c>
      <c r="B1764" s="98" t="s">
        <v>30</v>
      </c>
      <c r="C1764" s="39"/>
      <c r="D1764" s="22">
        <v>4000.0</v>
      </c>
      <c r="E1764" s="25">
        <f t="shared" si="284"/>
        <v>129</v>
      </c>
    </row>
    <row r="1765" ht="15.75" customHeight="1">
      <c r="A1765" s="62">
        <v>6071.0</v>
      </c>
      <c r="B1765" s="98" t="s">
        <v>36</v>
      </c>
      <c r="C1765" s="39"/>
      <c r="D1765" s="22">
        <f>C1758</f>
        <v>1000</v>
      </c>
      <c r="E1765" s="25">
        <f t="shared" si="284"/>
        <v>130</v>
      </c>
    </row>
    <row r="1766" ht="15.75" customHeight="1">
      <c r="A1766" s="101">
        <v>6800.0</v>
      </c>
      <c r="B1766" s="102" t="s">
        <v>114</v>
      </c>
      <c r="C1766" s="39"/>
      <c r="D1766" s="22">
        <f>547.5*2.5*2+547.5*5.5*8</f>
        <v>26827.5</v>
      </c>
      <c r="E1766" s="25">
        <f t="shared" si="284"/>
        <v>131</v>
      </c>
    </row>
    <row r="1767" ht="15.75" customHeight="1">
      <c r="A1767" s="62">
        <v>6993.0</v>
      </c>
      <c r="B1767" s="98" t="s">
        <v>115</v>
      </c>
      <c r="C1767" s="39"/>
      <c r="D1767" s="22">
        <f>100*10*1.25</f>
        <v>1250</v>
      </c>
      <c r="E1767" s="25">
        <f t="shared" si="284"/>
        <v>132</v>
      </c>
    </row>
    <row r="1768" ht="15.75" customHeight="1">
      <c r="A1768" s="62"/>
      <c r="B1768" s="106" t="s">
        <v>19</v>
      </c>
      <c r="C1768" s="31">
        <f t="shared" ref="C1768:D1768" si="285">SUM(C1757:C1767)</f>
        <v>59860</v>
      </c>
      <c r="D1768" s="32">
        <f t="shared" si="285"/>
        <v>73761.71053</v>
      </c>
      <c r="E1768" s="25"/>
    </row>
    <row r="1769" ht="15.75" customHeight="1">
      <c r="A1769" s="101"/>
      <c r="B1769" s="136" t="s">
        <v>20</v>
      </c>
      <c r="C1769" s="39"/>
      <c r="D1769" s="32">
        <f>C1768-D1768</f>
        <v>-13901.71053</v>
      </c>
      <c r="E1769" s="40"/>
    </row>
    <row r="1770" ht="15.75" customHeight="1">
      <c r="A1770" s="97">
        <v>182335.0</v>
      </c>
      <c r="B1770" s="283" t="s">
        <v>350</v>
      </c>
      <c r="C1770" s="75"/>
      <c r="D1770" s="76"/>
      <c r="E1770" s="177"/>
    </row>
    <row r="1771" ht="15.75" customHeight="1">
      <c r="A1771" s="62">
        <v>3011.0</v>
      </c>
      <c r="B1771" s="98" t="s">
        <v>22</v>
      </c>
      <c r="C1771" s="21">
        <f>450*70</f>
        <v>31500</v>
      </c>
      <c r="D1771" s="22"/>
      <c r="E1771" s="25">
        <f>E1767+1</f>
        <v>133</v>
      </c>
    </row>
    <row r="1772" ht="15.75" customHeight="1">
      <c r="A1772" s="62">
        <v>3014.0</v>
      </c>
      <c r="B1772" s="98" t="s">
        <v>55</v>
      </c>
      <c r="C1772" s="21">
        <v>0.0</v>
      </c>
      <c r="D1772" s="22"/>
      <c r="E1772" s="25">
        <f t="shared" ref="E1772:E1779" si="286">E1771+1</f>
        <v>134</v>
      </c>
    </row>
    <row r="1773" ht="15.75" customHeight="1">
      <c r="A1773" s="62">
        <v>3030.0</v>
      </c>
      <c r="B1773" s="98" t="s">
        <v>117</v>
      </c>
      <c r="C1773" s="21">
        <f>30000*1.13</f>
        <v>33900</v>
      </c>
      <c r="D1773" s="22"/>
      <c r="E1773" s="25">
        <f t="shared" si="286"/>
        <v>135</v>
      </c>
    </row>
    <row r="1774" ht="15.75" customHeight="1">
      <c r="A1774" s="62">
        <v>4012.0</v>
      </c>
      <c r="B1774" s="98" t="s">
        <v>118</v>
      </c>
      <c r="C1774" s="39"/>
      <c r="D1774" s="22">
        <f>C1773/1.9</f>
        <v>17842.10526</v>
      </c>
      <c r="E1774" s="25">
        <f t="shared" si="286"/>
        <v>136</v>
      </c>
    </row>
    <row r="1775" ht="15.75" customHeight="1">
      <c r="A1775" s="62">
        <v>4013.0</v>
      </c>
      <c r="B1775" s="98" t="s">
        <v>98</v>
      </c>
      <c r="C1775" s="39"/>
      <c r="D1775" s="22">
        <f>100*30</f>
        <v>3000</v>
      </c>
      <c r="E1775" s="25">
        <f t="shared" si="286"/>
        <v>137</v>
      </c>
    </row>
    <row r="1776" ht="15.75" customHeight="1">
      <c r="A1776" s="108">
        <v>4047.0</v>
      </c>
      <c r="B1776" s="127" t="s">
        <v>14</v>
      </c>
      <c r="C1776" s="39"/>
      <c r="D1776" s="29">
        <v>10000.0</v>
      </c>
      <c r="E1776" s="25">
        <f t="shared" si="286"/>
        <v>138</v>
      </c>
    </row>
    <row r="1777" ht="15.75" customHeight="1">
      <c r="A1777" s="62">
        <v>4076.0</v>
      </c>
      <c r="B1777" s="98" t="s">
        <v>29</v>
      </c>
      <c r="C1777" s="39"/>
      <c r="D1777" s="22">
        <v>0.0</v>
      </c>
      <c r="E1777" s="25">
        <f t="shared" si="286"/>
        <v>139</v>
      </c>
    </row>
    <row r="1778" ht="15.75" customHeight="1">
      <c r="A1778" s="101">
        <v>6800.0</v>
      </c>
      <c r="B1778" s="102" t="s">
        <v>114</v>
      </c>
      <c r="C1778" s="39"/>
      <c r="D1778" s="22">
        <f>(547.5*5*6+547.5*1*7)</f>
        <v>20257.5</v>
      </c>
      <c r="E1778" s="25">
        <f t="shared" si="286"/>
        <v>140</v>
      </c>
    </row>
    <row r="1779" ht="15.75" customHeight="1">
      <c r="A1779" s="62">
        <v>6993.0</v>
      </c>
      <c r="B1779" s="98" t="s">
        <v>115</v>
      </c>
      <c r="C1779" s="39"/>
      <c r="D1779" s="22">
        <f>300*6.25</f>
        <v>1875</v>
      </c>
      <c r="E1779" s="25">
        <f t="shared" si="286"/>
        <v>141</v>
      </c>
    </row>
    <row r="1780" ht="15.75" customHeight="1">
      <c r="A1780" s="62"/>
      <c r="B1780" s="106" t="s">
        <v>19</v>
      </c>
      <c r="C1780" s="31">
        <f t="shared" ref="C1780:D1780" si="287">SUM(C1771:C1779)</f>
        <v>65400</v>
      </c>
      <c r="D1780" s="32">
        <f t="shared" si="287"/>
        <v>52974.60526</v>
      </c>
      <c r="E1780" s="25"/>
    </row>
    <row r="1781" ht="15.75" customHeight="1">
      <c r="A1781" s="101"/>
      <c r="B1781" s="136" t="s">
        <v>20</v>
      </c>
      <c r="C1781" s="39"/>
      <c r="D1781" s="32">
        <f>C1780-D1780</f>
        <v>12425.39474</v>
      </c>
      <c r="E1781" s="40"/>
    </row>
    <row r="1782" ht="15.75" customHeight="1">
      <c r="A1782" s="303"/>
      <c r="B1782" s="304" t="s">
        <v>351</v>
      </c>
      <c r="C1782" s="305"/>
      <c r="D1782" s="280"/>
      <c r="E1782" s="306"/>
    </row>
    <row r="1783" ht="15.75" customHeight="1">
      <c r="A1783" s="34">
        <v>182325.0</v>
      </c>
      <c r="B1783" s="307" t="s">
        <v>352</v>
      </c>
      <c r="C1783" s="308"/>
      <c r="D1783" s="76"/>
      <c r="E1783" s="309"/>
    </row>
    <row r="1784" ht="15.75" customHeight="1">
      <c r="A1784" s="27">
        <v>3011.0</v>
      </c>
      <c r="B1784" s="28" t="s">
        <v>353</v>
      </c>
      <c r="C1784" s="310">
        <v>0.0</v>
      </c>
      <c r="D1784" s="57"/>
      <c r="E1784" s="197">
        <f>E1779+1</f>
        <v>142</v>
      </c>
    </row>
    <row r="1785" ht="15.75" customHeight="1">
      <c r="A1785" s="19">
        <v>4047.0</v>
      </c>
      <c r="B1785" s="20" t="s">
        <v>14</v>
      </c>
      <c r="C1785" s="156"/>
      <c r="D1785" s="57">
        <f>34000</f>
        <v>34000</v>
      </c>
      <c r="E1785" s="197">
        <f t="shared" ref="E1785:E1791" si="288">E1784+1</f>
        <v>143</v>
      </c>
    </row>
    <row r="1786" ht="15.75" customHeight="1">
      <c r="A1786" s="19">
        <v>4060.0</v>
      </c>
      <c r="B1786" s="20" t="s">
        <v>27</v>
      </c>
      <c r="C1786" s="156"/>
      <c r="D1786" s="57">
        <f>200*2+50*2</f>
        <v>500</v>
      </c>
      <c r="E1786" s="197">
        <f t="shared" si="288"/>
        <v>144</v>
      </c>
    </row>
    <row r="1787" ht="15.75" customHeight="1">
      <c r="A1787" s="19">
        <v>4082.0</v>
      </c>
      <c r="B1787" s="20" t="s">
        <v>45</v>
      </c>
      <c r="C1787" s="156"/>
      <c r="D1787" s="57">
        <f>200*2</f>
        <v>400</v>
      </c>
      <c r="E1787" s="197">
        <f t="shared" si="288"/>
        <v>145</v>
      </c>
    </row>
    <row r="1788" ht="15.75" customHeight="1">
      <c r="A1788" s="19">
        <v>5810.0</v>
      </c>
      <c r="B1788" s="20" t="s">
        <v>34</v>
      </c>
      <c r="C1788" s="156"/>
      <c r="D1788" s="57">
        <v>2000.0</v>
      </c>
      <c r="E1788" s="197">
        <f t="shared" si="288"/>
        <v>146</v>
      </c>
    </row>
    <row r="1789" ht="15.75" customHeight="1">
      <c r="A1789" s="19">
        <v>4190.0</v>
      </c>
      <c r="B1789" s="20" t="s">
        <v>32</v>
      </c>
      <c r="C1789" s="156"/>
      <c r="D1789" s="57">
        <f>400*2</f>
        <v>800</v>
      </c>
      <c r="E1789" s="197">
        <f t="shared" si="288"/>
        <v>147</v>
      </c>
    </row>
    <row r="1790" ht="15.75" customHeight="1">
      <c r="A1790" s="19">
        <v>6070.0</v>
      </c>
      <c r="B1790" s="20" t="s">
        <v>35</v>
      </c>
      <c r="C1790" s="156"/>
      <c r="D1790" s="57">
        <v>2000.0</v>
      </c>
      <c r="E1790" s="197">
        <f t="shared" si="288"/>
        <v>148</v>
      </c>
    </row>
    <row r="1791" ht="15.75" customHeight="1">
      <c r="A1791" s="62">
        <v>6993.0</v>
      </c>
      <c r="B1791" s="98" t="s">
        <v>115</v>
      </c>
      <c r="C1791" s="39"/>
      <c r="D1791" s="22">
        <v>0.0</v>
      </c>
      <c r="E1791" s="197">
        <f t="shared" si="288"/>
        <v>149</v>
      </c>
    </row>
    <row r="1792" ht="15.75" customHeight="1">
      <c r="A1792" s="66"/>
      <c r="B1792" s="30" t="s">
        <v>19</v>
      </c>
      <c r="C1792" s="199">
        <f>SUM(C1784:C1791)</f>
        <v>0</v>
      </c>
      <c r="D1792" s="200">
        <f>sum(D1784:D1791)</f>
        <v>39700</v>
      </c>
      <c r="E1792" s="197"/>
    </row>
    <row r="1793" ht="15.75" customHeight="1">
      <c r="A1793" s="66"/>
      <c r="B1793" s="30" t="s">
        <v>20</v>
      </c>
      <c r="C1793" s="199"/>
      <c r="D1793" s="200">
        <f>C1792-D1792</f>
        <v>-39700</v>
      </c>
      <c r="E1793" s="197"/>
    </row>
    <row r="1794" ht="15.75" customHeight="1">
      <c r="A1794" s="97">
        <v>182326.0</v>
      </c>
      <c r="B1794" s="311" t="s">
        <v>354</v>
      </c>
      <c r="C1794" s="75"/>
      <c r="D1794" s="76"/>
      <c r="E1794" s="177"/>
    </row>
    <row r="1795" ht="15.75" customHeight="1">
      <c r="A1795" s="62">
        <v>3011.0</v>
      </c>
      <c r="B1795" s="98" t="s">
        <v>22</v>
      </c>
      <c r="C1795" s="21">
        <f>(50*485+50*100)*2</f>
        <v>58500</v>
      </c>
      <c r="D1795" s="22"/>
      <c r="E1795" s="25">
        <f>E1791+1</f>
        <v>150</v>
      </c>
    </row>
    <row r="1796" ht="15.75" customHeight="1">
      <c r="A1796" s="62">
        <v>3014.0</v>
      </c>
      <c r="B1796" s="98" t="s">
        <v>55</v>
      </c>
      <c r="C1796" s="21">
        <f>485*3*2</f>
        <v>2910</v>
      </c>
      <c r="D1796" s="22"/>
      <c r="E1796" s="25">
        <f t="shared" ref="E1796:E1807" si="289">E1795+1</f>
        <v>151</v>
      </c>
    </row>
    <row r="1797" ht="15.75" customHeight="1">
      <c r="A1797" s="62">
        <v>3030.0</v>
      </c>
      <c r="B1797" s="98" t="s">
        <v>117</v>
      </c>
      <c r="C1797" s="26">
        <v>0.0</v>
      </c>
      <c r="D1797" s="22"/>
      <c r="E1797" s="25">
        <f t="shared" si="289"/>
        <v>152</v>
      </c>
    </row>
    <row r="1798" ht="15.75" customHeight="1">
      <c r="A1798" s="108">
        <v>4010.0</v>
      </c>
      <c r="B1798" s="127" t="s">
        <v>48</v>
      </c>
      <c r="C1798" s="39"/>
      <c r="D1798" s="29">
        <v>0.0</v>
      </c>
      <c r="E1798" s="25">
        <f t="shared" si="289"/>
        <v>153</v>
      </c>
    </row>
    <row r="1799" ht="15.75" customHeight="1">
      <c r="A1799" s="62">
        <v>4012.0</v>
      </c>
      <c r="B1799" s="98" t="s">
        <v>118</v>
      </c>
      <c r="C1799" s="39"/>
      <c r="D1799" s="22">
        <f>C1797/1.9</f>
        <v>0</v>
      </c>
      <c r="E1799" s="25">
        <f t="shared" si="289"/>
        <v>154</v>
      </c>
    </row>
    <row r="1800" ht="15.75" customHeight="1">
      <c r="A1800" s="62">
        <v>4013.0</v>
      </c>
      <c r="B1800" s="98" t="s">
        <v>98</v>
      </c>
      <c r="C1800" s="39"/>
      <c r="D1800" s="29">
        <v>0.0</v>
      </c>
      <c r="E1800" s="25">
        <f t="shared" si="289"/>
        <v>155</v>
      </c>
    </row>
    <row r="1801" ht="15.75" customHeight="1">
      <c r="A1801" s="108">
        <v>4047.0</v>
      </c>
      <c r="B1801" s="127" t="s">
        <v>14</v>
      </c>
      <c r="C1801" s="39"/>
      <c r="D1801" s="22">
        <f>485*50*2</f>
        <v>48500</v>
      </c>
      <c r="E1801" s="25">
        <f t="shared" si="289"/>
        <v>156</v>
      </c>
    </row>
    <row r="1802" ht="15.75" customHeight="1">
      <c r="A1802" s="108">
        <v>4078.0</v>
      </c>
      <c r="B1802" s="127" t="s">
        <v>30</v>
      </c>
      <c r="C1802" s="39"/>
      <c r="D1802" s="29">
        <v>0.0</v>
      </c>
      <c r="E1802" s="25">
        <f t="shared" si="289"/>
        <v>157</v>
      </c>
    </row>
    <row r="1803" ht="15.75" customHeight="1">
      <c r="A1803" s="62">
        <v>4076.0</v>
      </c>
      <c r="B1803" s="98" t="s">
        <v>29</v>
      </c>
      <c r="C1803" s="39"/>
      <c r="D1803" s="29">
        <v>0.0</v>
      </c>
      <c r="E1803" s="25">
        <f t="shared" si="289"/>
        <v>158</v>
      </c>
    </row>
    <row r="1804" ht="15.75" customHeight="1">
      <c r="A1804" s="19">
        <v>5810.0</v>
      </c>
      <c r="B1804" s="214" t="s">
        <v>34</v>
      </c>
      <c r="C1804" s="39"/>
      <c r="D1804" s="29">
        <f>6000*2</f>
        <v>12000</v>
      </c>
      <c r="E1804" s="25">
        <f t="shared" si="289"/>
        <v>159</v>
      </c>
    </row>
    <row r="1805" ht="15.75" customHeight="1">
      <c r="A1805" s="62">
        <v>6071.0</v>
      </c>
      <c r="B1805" s="98" t="s">
        <v>36</v>
      </c>
      <c r="C1805" s="39"/>
      <c r="D1805" s="29">
        <f>C1796</f>
        <v>2910</v>
      </c>
      <c r="E1805" s="25">
        <f t="shared" si="289"/>
        <v>160</v>
      </c>
    </row>
    <row r="1806" ht="15.75" customHeight="1">
      <c r="A1806" s="101">
        <v>6800.0</v>
      </c>
      <c r="B1806" s="102" t="s">
        <v>114</v>
      </c>
      <c r="C1806" s="39"/>
      <c r="D1806" s="29">
        <v>0.0</v>
      </c>
      <c r="E1806" s="25">
        <f t="shared" si="289"/>
        <v>161</v>
      </c>
    </row>
    <row r="1807" ht="15.75" customHeight="1">
      <c r="A1807" s="62">
        <v>6993.0</v>
      </c>
      <c r="B1807" s="98" t="s">
        <v>115</v>
      </c>
      <c r="C1807" s="39"/>
      <c r="D1807" s="29">
        <f>57*12.5</f>
        <v>712.5</v>
      </c>
      <c r="E1807" s="25">
        <f t="shared" si="289"/>
        <v>162</v>
      </c>
    </row>
    <row r="1808" ht="15.75" customHeight="1">
      <c r="A1808" s="62"/>
      <c r="B1808" s="106" t="s">
        <v>19</v>
      </c>
      <c r="C1808" s="31">
        <f t="shared" ref="C1808:D1808" si="290">SUM(C1795:C1807)</f>
        <v>61410</v>
      </c>
      <c r="D1808" s="32">
        <f t="shared" si="290"/>
        <v>64122.5</v>
      </c>
      <c r="E1808" s="25"/>
    </row>
    <row r="1809" ht="15.75" customHeight="1">
      <c r="A1809" s="101"/>
      <c r="B1809" s="136" t="s">
        <v>20</v>
      </c>
      <c r="C1809" s="39"/>
      <c r="D1809" s="32">
        <f>C1808-D1808</f>
        <v>-2712.5</v>
      </c>
      <c r="E1809" s="40"/>
    </row>
    <row r="1810" ht="15.75" customHeight="1">
      <c r="A1810" s="182">
        <v>182328.0</v>
      </c>
      <c r="B1810" s="288" t="s">
        <v>355</v>
      </c>
      <c r="C1810" s="75"/>
      <c r="D1810" s="76"/>
      <c r="E1810" s="177"/>
    </row>
    <row r="1811" ht="15.75" customHeight="1">
      <c r="A1811" s="152">
        <v>3011.0</v>
      </c>
      <c r="B1811" s="65" t="s">
        <v>22</v>
      </c>
      <c r="C1811" s="294">
        <v>10000.0</v>
      </c>
      <c r="D1811" s="312"/>
      <c r="E1811" s="212">
        <f>E1807+1</f>
        <v>163</v>
      </c>
    </row>
    <row r="1812" ht="15.75" customHeight="1">
      <c r="A1812" s="152">
        <v>3030.0</v>
      </c>
      <c r="B1812" s="65" t="s">
        <v>241</v>
      </c>
      <c r="C1812" s="21">
        <f>10000*1.13</f>
        <v>11300</v>
      </c>
      <c r="D1812" s="57"/>
      <c r="E1812" s="25">
        <f t="shared" ref="E1812:E1816" si="291">E1811+1</f>
        <v>164</v>
      </c>
    </row>
    <row r="1813" ht="15.75" customHeight="1">
      <c r="A1813" s="154">
        <v>4012.0</v>
      </c>
      <c r="B1813" s="221" t="s">
        <v>356</v>
      </c>
      <c r="C1813" s="39"/>
      <c r="D1813" s="57">
        <f>C1812/1.9</f>
        <v>5947.368421</v>
      </c>
      <c r="E1813" s="25">
        <f t="shared" si="291"/>
        <v>165</v>
      </c>
    </row>
    <row r="1814" ht="18.75" customHeight="1">
      <c r="A1814" s="152">
        <v>4013.0</v>
      </c>
      <c r="B1814" s="65" t="s">
        <v>98</v>
      </c>
      <c r="C1814" s="39"/>
      <c r="D1814" s="57">
        <f>8*40</f>
        <v>320</v>
      </c>
      <c r="E1814" s="25">
        <f t="shared" si="291"/>
        <v>166</v>
      </c>
    </row>
    <row r="1815" ht="18.75" customHeight="1">
      <c r="A1815" s="152">
        <v>4047.0</v>
      </c>
      <c r="B1815" s="65" t="s">
        <v>14</v>
      </c>
      <c r="C1815" s="39"/>
      <c r="D1815" s="157">
        <v>4000.0</v>
      </c>
      <c r="E1815" s="25">
        <f t="shared" si="291"/>
        <v>167</v>
      </c>
    </row>
    <row r="1816" ht="15.75" customHeight="1">
      <c r="A1816" s="313">
        <v>4076.0</v>
      </c>
      <c r="B1816" s="314" t="s">
        <v>226</v>
      </c>
      <c r="C1816" s="39"/>
      <c r="D1816" s="157">
        <v>4500.0</v>
      </c>
      <c r="E1816" s="25">
        <f t="shared" si="291"/>
        <v>168</v>
      </c>
    </row>
    <row r="1817" ht="15.75" customHeight="1">
      <c r="A1817" s="152"/>
      <c r="B1817" s="257" t="s">
        <v>19</v>
      </c>
      <c r="C1817" s="31">
        <f t="shared" ref="C1817:D1817" si="292">SUM(C1811:C1816)</f>
        <v>21300</v>
      </c>
      <c r="D1817" s="32">
        <f t="shared" si="292"/>
        <v>14767.36842</v>
      </c>
      <c r="E1817" s="25"/>
    </row>
    <row r="1818" ht="15.75" customHeight="1">
      <c r="A1818" s="220"/>
      <c r="B1818" s="256" t="s">
        <v>20</v>
      </c>
      <c r="C1818" s="39"/>
      <c r="D1818" s="32">
        <f>C1817-D1817</f>
        <v>6532.631579</v>
      </c>
      <c r="E1818" s="40"/>
    </row>
    <row r="1819" ht="15.75" customHeight="1">
      <c r="A1819" s="277"/>
      <c r="B1819" s="278"/>
      <c r="C1819" s="306"/>
      <c r="D1819" s="280"/>
      <c r="E1819" s="315"/>
    </row>
    <row r="1820" ht="15.75" customHeight="1">
      <c r="A1820" s="277"/>
      <c r="B1820" s="278" t="s">
        <v>357</v>
      </c>
      <c r="C1820" s="279"/>
      <c r="D1820" s="280"/>
      <c r="E1820" s="281"/>
    </row>
    <row r="1821" ht="15.75" customHeight="1">
      <c r="A1821" s="97">
        <v>182320.0</v>
      </c>
      <c r="B1821" s="271" t="s">
        <v>358</v>
      </c>
      <c r="C1821" s="75"/>
      <c r="D1821" s="76"/>
      <c r="E1821" s="177"/>
    </row>
    <row r="1822" ht="15.75" customHeight="1">
      <c r="A1822" s="101">
        <v>3011.0</v>
      </c>
      <c r="B1822" s="98" t="s">
        <v>22</v>
      </c>
      <c r="C1822" s="39">
        <v>0.0</v>
      </c>
      <c r="D1822" s="22"/>
      <c r="E1822" s="25">
        <f>E1816+1</f>
        <v>169</v>
      </c>
    </row>
    <row r="1823" ht="15.75" customHeight="1">
      <c r="A1823" s="163">
        <v>3015.0</v>
      </c>
      <c r="B1823" s="127" t="s">
        <v>8</v>
      </c>
      <c r="C1823" s="68">
        <v>0.0</v>
      </c>
      <c r="D1823" s="22"/>
      <c r="E1823" s="25">
        <f t="shared" ref="E1823:E1831" si="293">E1822+1</f>
        <v>170</v>
      </c>
    </row>
    <row r="1824" ht="15.75" customHeight="1">
      <c r="A1824" s="101">
        <v>3030.0</v>
      </c>
      <c r="B1824" s="98" t="s">
        <v>117</v>
      </c>
      <c r="C1824" s="39">
        <f>22800*1.13</f>
        <v>25764</v>
      </c>
      <c r="D1824" s="22"/>
      <c r="E1824" s="25">
        <f t="shared" si="293"/>
        <v>171</v>
      </c>
    </row>
    <row r="1825" ht="15.75" customHeight="1">
      <c r="A1825" s="101">
        <v>4012.0</v>
      </c>
      <c r="B1825" s="102" t="s">
        <v>118</v>
      </c>
      <c r="C1825" s="39"/>
      <c r="D1825" s="22">
        <f>C1824/1.9</f>
        <v>13560</v>
      </c>
      <c r="E1825" s="25">
        <f t="shared" si="293"/>
        <v>172</v>
      </c>
    </row>
    <row r="1826" ht="15.75" customHeight="1">
      <c r="A1826" s="101">
        <v>4013.0</v>
      </c>
      <c r="B1826" s="102" t="s">
        <v>98</v>
      </c>
      <c r="C1826" s="39"/>
      <c r="D1826" s="22">
        <f>2*10*40</f>
        <v>800</v>
      </c>
      <c r="E1826" s="25">
        <f t="shared" si="293"/>
        <v>173</v>
      </c>
    </row>
    <row r="1827" ht="15.75" customHeight="1">
      <c r="A1827" s="101">
        <v>4047.0</v>
      </c>
      <c r="B1827" s="102" t="s">
        <v>14</v>
      </c>
      <c r="C1827" s="39"/>
      <c r="D1827" s="29">
        <v>0.0</v>
      </c>
      <c r="E1827" s="24">
        <f t="shared" si="293"/>
        <v>174</v>
      </c>
    </row>
    <row r="1828" ht="15.75" customHeight="1">
      <c r="A1828" s="101">
        <v>4060.0</v>
      </c>
      <c r="B1828" s="102" t="s">
        <v>27</v>
      </c>
      <c r="C1828" s="39"/>
      <c r="D1828" s="29">
        <f>550*2+28*200+50*30</f>
        <v>8200</v>
      </c>
      <c r="E1828" s="24">
        <f t="shared" si="293"/>
        <v>175</v>
      </c>
    </row>
    <row r="1829" ht="15.75" customHeight="1">
      <c r="A1829" s="101">
        <v>4082.0</v>
      </c>
      <c r="B1829" s="102" t="s">
        <v>45</v>
      </c>
      <c r="C1829" s="39"/>
      <c r="D1829" s="22">
        <f>2*300+5*200+25*100</f>
        <v>4100</v>
      </c>
      <c r="E1829" s="24">
        <f t="shared" si="293"/>
        <v>176</v>
      </c>
    </row>
    <row r="1830" ht="15.75" customHeight="1">
      <c r="A1830" s="101">
        <v>4190.0</v>
      </c>
      <c r="B1830" s="102" t="s">
        <v>32</v>
      </c>
      <c r="C1830" s="39"/>
      <c r="D1830" s="22">
        <f>2*600+5*500+25*200</f>
        <v>8700</v>
      </c>
      <c r="E1830" s="24">
        <f t="shared" si="293"/>
        <v>177</v>
      </c>
    </row>
    <row r="1831" ht="15.75" customHeight="1">
      <c r="A1831" s="101">
        <v>6071.0</v>
      </c>
      <c r="B1831" s="102" t="s">
        <v>36</v>
      </c>
      <c r="C1831" s="39"/>
      <c r="D1831" s="22">
        <f>2*450+2*550</f>
        <v>2000</v>
      </c>
      <c r="E1831" s="24">
        <f t="shared" si="293"/>
        <v>178</v>
      </c>
    </row>
    <row r="1832" ht="15.75" customHeight="1">
      <c r="A1832" s="101"/>
      <c r="B1832" s="135" t="s">
        <v>19</v>
      </c>
      <c r="C1832" s="31">
        <f t="shared" ref="C1832:D1832" si="294">SUM(C1822:C1831)</f>
        <v>25764</v>
      </c>
      <c r="D1832" s="32">
        <f t="shared" si="294"/>
        <v>37360</v>
      </c>
      <c r="E1832" s="25"/>
    </row>
    <row r="1833" ht="15.75" customHeight="1">
      <c r="A1833" s="101"/>
      <c r="B1833" s="136" t="s">
        <v>20</v>
      </c>
      <c r="C1833" s="39"/>
      <c r="D1833" s="32">
        <f>C1832-D1832</f>
        <v>-11596</v>
      </c>
      <c r="E1833" s="25"/>
    </row>
    <row r="1834" ht="15.75" customHeight="1">
      <c r="A1834" s="97">
        <v>182321.0</v>
      </c>
      <c r="B1834" s="271" t="s">
        <v>359</v>
      </c>
      <c r="C1834" s="75"/>
      <c r="D1834" s="76"/>
      <c r="E1834" s="177"/>
    </row>
    <row r="1835" ht="15.75" hidden="1" customHeight="1">
      <c r="A1835" s="101">
        <v>3011.0</v>
      </c>
      <c r="B1835" s="102" t="s">
        <v>22</v>
      </c>
      <c r="C1835" s="39">
        <v>0.0</v>
      </c>
      <c r="D1835" s="22"/>
      <c r="E1835" s="25">
        <f>E1831+1</f>
        <v>179</v>
      </c>
    </row>
    <row r="1836" ht="15.75" hidden="1" customHeight="1">
      <c r="A1836" s="101">
        <v>3030.0</v>
      </c>
      <c r="B1836" s="98" t="s">
        <v>117</v>
      </c>
      <c r="C1836" s="39">
        <v>0.0</v>
      </c>
      <c r="D1836" s="22"/>
      <c r="E1836" s="25">
        <f t="shared" ref="E1836:E1843" si="295">E1835+1</f>
        <v>180</v>
      </c>
    </row>
    <row r="1837" ht="15.75" hidden="1" customHeight="1">
      <c r="A1837" s="52">
        <v>4010.0</v>
      </c>
      <c r="B1837" s="216" t="s">
        <v>48</v>
      </c>
      <c r="C1837" s="39"/>
      <c r="D1837" s="22">
        <v>0.0</v>
      </c>
      <c r="E1837" s="25">
        <f t="shared" si="295"/>
        <v>181</v>
      </c>
    </row>
    <row r="1838" ht="15.75" hidden="1" customHeight="1">
      <c r="A1838" s="101">
        <v>4012.0</v>
      </c>
      <c r="B1838" s="102" t="s">
        <v>118</v>
      </c>
      <c r="C1838" s="39"/>
      <c r="D1838" s="22">
        <v>0.0</v>
      </c>
      <c r="E1838" s="25">
        <f t="shared" si="295"/>
        <v>182</v>
      </c>
    </row>
    <row r="1839" ht="15.75" hidden="1" customHeight="1">
      <c r="A1839" s="101">
        <v>4013.0</v>
      </c>
      <c r="B1839" s="102" t="s">
        <v>98</v>
      </c>
      <c r="C1839" s="39"/>
      <c r="D1839" s="22">
        <v>0.0</v>
      </c>
      <c r="E1839" s="25">
        <f t="shared" si="295"/>
        <v>183</v>
      </c>
    </row>
    <row r="1840" ht="15.75" hidden="1" customHeight="1">
      <c r="A1840" s="101">
        <v>4076.0</v>
      </c>
      <c r="B1840" s="102" t="s">
        <v>29</v>
      </c>
      <c r="C1840" s="39"/>
      <c r="D1840" s="22">
        <v>0.0</v>
      </c>
      <c r="E1840" s="25">
        <f t="shared" si="295"/>
        <v>184</v>
      </c>
    </row>
    <row r="1841" ht="15.75" hidden="1" customHeight="1">
      <c r="A1841" s="101">
        <v>4078.0</v>
      </c>
      <c r="B1841" s="102" t="s">
        <v>30</v>
      </c>
      <c r="C1841" s="39"/>
      <c r="D1841" s="22">
        <v>0.0</v>
      </c>
      <c r="E1841" s="25">
        <f t="shared" si="295"/>
        <v>185</v>
      </c>
    </row>
    <row r="1842" ht="15.75" hidden="1" customHeight="1">
      <c r="A1842" s="101">
        <v>6800.0</v>
      </c>
      <c r="B1842" s="102" t="s">
        <v>114</v>
      </c>
      <c r="C1842" s="39"/>
      <c r="D1842" s="22">
        <v>0.0</v>
      </c>
      <c r="E1842" s="25">
        <f t="shared" si="295"/>
        <v>186</v>
      </c>
    </row>
    <row r="1843" ht="15.75" hidden="1" customHeight="1">
      <c r="A1843" s="62">
        <v>6993.0</v>
      </c>
      <c r="B1843" s="98" t="s">
        <v>115</v>
      </c>
      <c r="C1843" s="39"/>
      <c r="D1843" s="22">
        <v>0.0</v>
      </c>
      <c r="E1843" s="25">
        <f t="shared" si="295"/>
        <v>187</v>
      </c>
    </row>
    <row r="1844" ht="15.75" hidden="1" customHeight="1">
      <c r="A1844" s="101"/>
      <c r="B1844" s="135" t="s">
        <v>19</v>
      </c>
      <c r="C1844" s="31">
        <f t="shared" ref="C1844:D1844" si="296">SUM(C1835:C1843)</f>
        <v>0</v>
      </c>
      <c r="D1844" s="32">
        <f t="shared" si="296"/>
        <v>0</v>
      </c>
      <c r="E1844" s="25"/>
    </row>
    <row r="1845" ht="15.75" hidden="1" customHeight="1">
      <c r="A1845" s="101"/>
      <c r="B1845" s="136" t="s">
        <v>20</v>
      </c>
      <c r="C1845" s="39"/>
      <c r="D1845" s="32">
        <f>C1844-D1844</f>
        <v>0</v>
      </c>
      <c r="E1845" s="25"/>
    </row>
    <row r="1846" ht="15.75" customHeight="1">
      <c r="A1846" s="97">
        <v>182322.0</v>
      </c>
      <c r="B1846" s="271" t="s">
        <v>360</v>
      </c>
      <c r="C1846" s="75"/>
      <c r="D1846" s="76"/>
      <c r="E1846" s="177"/>
    </row>
    <row r="1847" ht="15.75" hidden="1" customHeight="1">
      <c r="A1847" s="101">
        <v>3011.0</v>
      </c>
      <c r="B1847" s="102" t="s">
        <v>22</v>
      </c>
      <c r="C1847" s="39"/>
      <c r="D1847" s="22"/>
      <c r="E1847" s="25"/>
    </row>
    <row r="1848" ht="15.75" hidden="1" customHeight="1">
      <c r="A1848" s="101">
        <v>3030.0</v>
      </c>
      <c r="B1848" s="98" t="s">
        <v>117</v>
      </c>
      <c r="C1848" s="39"/>
      <c r="D1848" s="22"/>
      <c r="E1848" s="25"/>
    </row>
    <row r="1849" ht="15.75" hidden="1" customHeight="1">
      <c r="A1849" s="101">
        <v>4012.0</v>
      </c>
      <c r="B1849" s="102" t="s">
        <v>118</v>
      </c>
      <c r="C1849" s="39"/>
      <c r="D1849" s="22"/>
      <c r="E1849" s="25"/>
    </row>
    <row r="1850" ht="15.75" hidden="1" customHeight="1">
      <c r="A1850" s="101">
        <v>4013.0</v>
      </c>
      <c r="B1850" s="102" t="s">
        <v>98</v>
      </c>
      <c r="C1850" s="39"/>
      <c r="D1850" s="22"/>
      <c r="E1850" s="25"/>
    </row>
    <row r="1851" ht="15.75" hidden="1" customHeight="1">
      <c r="A1851" s="101">
        <v>4076.0</v>
      </c>
      <c r="B1851" s="102" t="s">
        <v>29</v>
      </c>
      <c r="C1851" s="39"/>
      <c r="D1851" s="22"/>
      <c r="E1851" s="25"/>
    </row>
    <row r="1852" ht="15.75" hidden="1" customHeight="1">
      <c r="A1852" s="101">
        <v>4078.0</v>
      </c>
      <c r="B1852" s="102" t="s">
        <v>30</v>
      </c>
      <c r="C1852" s="39"/>
      <c r="D1852" s="22"/>
      <c r="E1852" s="25"/>
    </row>
    <row r="1853" ht="15.75" hidden="1" customHeight="1">
      <c r="A1853" s="101">
        <v>6800.0</v>
      </c>
      <c r="B1853" s="102" t="s">
        <v>114</v>
      </c>
      <c r="C1853" s="39"/>
      <c r="D1853" s="22"/>
      <c r="E1853" s="25"/>
    </row>
    <row r="1854" ht="15.75" hidden="1" customHeight="1">
      <c r="A1854" s="101"/>
      <c r="B1854" s="135" t="s">
        <v>19</v>
      </c>
      <c r="C1854" s="31">
        <f t="shared" ref="C1854:D1854" si="297">SUM(C1847:C1853)</f>
        <v>0</v>
      </c>
      <c r="D1854" s="32">
        <f t="shared" si="297"/>
        <v>0</v>
      </c>
      <c r="E1854" s="25"/>
    </row>
    <row r="1855" ht="15.75" hidden="1" customHeight="1">
      <c r="A1855" s="101"/>
      <c r="B1855" s="136" t="s">
        <v>20</v>
      </c>
      <c r="C1855" s="53"/>
      <c r="D1855" s="32">
        <f>C1854-D1854</f>
        <v>0</v>
      </c>
      <c r="E1855" s="40"/>
    </row>
    <row r="1856" ht="15.75" customHeight="1">
      <c r="A1856" s="97">
        <v>182333.0</v>
      </c>
      <c r="B1856" s="271" t="s">
        <v>361</v>
      </c>
      <c r="C1856" s="75"/>
      <c r="D1856" s="76"/>
      <c r="E1856" s="177"/>
    </row>
    <row r="1857" ht="15.75" customHeight="1">
      <c r="A1857" s="62">
        <v>3011.0</v>
      </c>
      <c r="B1857" s="98" t="s">
        <v>22</v>
      </c>
      <c r="C1857" s="39">
        <f>350*70*2</f>
        <v>49000</v>
      </c>
      <c r="D1857" s="22"/>
      <c r="E1857" s="25">
        <f>E1831+1</f>
        <v>179</v>
      </c>
    </row>
    <row r="1858" ht="15.75" customHeight="1">
      <c r="A1858" s="62">
        <v>3030.0</v>
      </c>
      <c r="B1858" s="98" t="s">
        <v>117</v>
      </c>
      <c r="C1858" s="39">
        <f>70000*1.13</f>
        <v>79100</v>
      </c>
      <c r="D1858" s="22"/>
      <c r="E1858" s="25">
        <f t="shared" ref="E1858:E1864" si="298">E1857+1</f>
        <v>180</v>
      </c>
    </row>
    <row r="1859" ht="15.75" customHeight="1">
      <c r="A1859" s="62">
        <v>4010.0</v>
      </c>
      <c r="B1859" s="216" t="s">
        <v>48</v>
      </c>
      <c r="C1859" s="39"/>
      <c r="D1859" s="22">
        <v>9600.0</v>
      </c>
      <c r="E1859" s="25">
        <f t="shared" si="298"/>
        <v>181</v>
      </c>
    </row>
    <row r="1860" ht="15.75" customHeight="1">
      <c r="A1860" s="62">
        <v>4012.0</v>
      </c>
      <c r="B1860" s="98" t="s">
        <v>118</v>
      </c>
      <c r="C1860" s="39"/>
      <c r="D1860" s="22">
        <f>C1858/1.9</f>
        <v>41631.57895</v>
      </c>
      <c r="E1860" s="25">
        <f t="shared" si="298"/>
        <v>182</v>
      </c>
    </row>
    <row r="1861" ht="15.75" customHeight="1">
      <c r="A1861" s="62">
        <v>4013.0</v>
      </c>
      <c r="B1861" s="98" t="s">
        <v>98</v>
      </c>
      <c r="C1861" s="39"/>
      <c r="D1861" s="22">
        <f>20*100*2</f>
        <v>4000</v>
      </c>
      <c r="E1861" s="25">
        <f t="shared" si="298"/>
        <v>183</v>
      </c>
    </row>
    <row r="1862" ht="15.75" customHeight="1">
      <c r="A1862" s="62">
        <v>4078.0</v>
      </c>
      <c r="B1862" s="98" t="s">
        <v>30</v>
      </c>
      <c r="C1862" s="39"/>
      <c r="D1862" s="22">
        <v>6000.0</v>
      </c>
      <c r="E1862" s="25">
        <f t="shared" si="298"/>
        <v>184</v>
      </c>
    </row>
    <row r="1863" ht="15.75" customHeight="1">
      <c r="A1863" s="101">
        <v>6800.0</v>
      </c>
      <c r="B1863" s="102" t="s">
        <v>114</v>
      </c>
      <c r="C1863" s="39"/>
      <c r="D1863" s="22">
        <f>2*(547.5*8*5.5)</f>
        <v>48180</v>
      </c>
      <c r="E1863" s="25">
        <f t="shared" si="298"/>
        <v>185</v>
      </c>
    </row>
    <row r="1864" ht="15.75" customHeight="1">
      <c r="A1864" s="62">
        <v>6993.0</v>
      </c>
      <c r="B1864" s="98" t="s">
        <v>115</v>
      </c>
      <c r="C1864" s="39"/>
      <c r="D1864" s="22">
        <f>350*6.25*2</f>
        <v>4375</v>
      </c>
      <c r="E1864" s="25">
        <f t="shared" si="298"/>
        <v>186</v>
      </c>
    </row>
    <row r="1865" ht="15.75" customHeight="1">
      <c r="A1865" s="62"/>
      <c r="B1865" s="106" t="s">
        <v>19</v>
      </c>
      <c r="C1865" s="31">
        <f t="shared" ref="C1865:D1865" si="299">SUM(C1857:C1864)</f>
        <v>128100</v>
      </c>
      <c r="D1865" s="32">
        <f t="shared" si="299"/>
        <v>113786.5789</v>
      </c>
      <c r="E1865" s="25"/>
    </row>
    <row r="1866" ht="15.75" customHeight="1">
      <c r="A1866" s="101"/>
      <c r="B1866" s="136" t="s">
        <v>20</v>
      </c>
      <c r="C1866" s="39"/>
      <c r="D1866" s="32">
        <f>C1865-D1865</f>
        <v>14313.42105</v>
      </c>
      <c r="E1866" s="40"/>
    </row>
    <row r="1867" ht="15.75" customHeight="1">
      <c r="A1867" s="97">
        <v>182334.0</v>
      </c>
      <c r="B1867" s="283" t="s">
        <v>362</v>
      </c>
      <c r="C1867" s="75"/>
      <c r="D1867" s="76"/>
      <c r="E1867" s="177"/>
    </row>
    <row r="1868" ht="15.75" customHeight="1">
      <c r="A1868" s="108">
        <v>3011.0</v>
      </c>
      <c r="B1868" s="127" t="s">
        <v>22</v>
      </c>
      <c r="C1868" s="39">
        <f>50*150+50*70</f>
        <v>11000</v>
      </c>
      <c r="D1868" s="22"/>
      <c r="E1868" s="25">
        <f>E1864+1</f>
        <v>187</v>
      </c>
    </row>
    <row r="1869" ht="15.75" customHeight="1">
      <c r="A1869" s="108">
        <v>3030.0</v>
      </c>
      <c r="B1869" s="127" t="s">
        <v>241</v>
      </c>
      <c r="C1869" s="39">
        <f>7000*1.13</f>
        <v>7910</v>
      </c>
      <c r="D1869" s="22"/>
      <c r="E1869" s="25">
        <f t="shared" ref="E1869:E1873" si="300">E1868+1</f>
        <v>188</v>
      </c>
    </row>
    <row r="1870" ht="15.75" customHeight="1">
      <c r="A1870" s="108">
        <v>4010.0</v>
      </c>
      <c r="B1870" s="127" t="s">
        <v>48</v>
      </c>
      <c r="C1870" s="39"/>
      <c r="D1870" s="22">
        <f>50*120+40*50</f>
        <v>8000</v>
      </c>
      <c r="E1870" s="25">
        <f t="shared" si="300"/>
        <v>189</v>
      </c>
    </row>
    <row r="1871" ht="15.75" customHeight="1">
      <c r="A1871" s="108">
        <v>4012.0</v>
      </c>
      <c r="B1871" s="127" t="s">
        <v>363</v>
      </c>
      <c r="C1871" s="39"/>
      <c r="D1871" s="22">
        <f>C1869/1.9</f>
        <v>4163.157895</v>
      </c>
      <c r="E1871" s="25">
        <f t="shared" si="300"/>
        <v>190</v>
      </c>
    </row>
    <row r="1872" ht="15.75" customHeight="1">
      <c r="A1872" s="108">
        <v>4013.0</v>
      </c>
      <c r="B1872" s="127" t="s">
        <v>98</v>
      </c>
      <c r="C1872" s="39"/>
      <c r="D1872" s="29">
        <f>40*32</f>
        <v>1280</v>
      </c>
      <c r="E1872" s="25">
        <f t="shared" si="300"/>
        <v>191</v>
      </c>
    </row>
    <row r="1873" ht="15.75" customHeight="1">
      <c r="A1873" s="108">
        <v>4078.0</v>
      </c>
      <c r="B1873" s="127" t="s">
        <v>30</v>
      </c>
      <c r="C1873" s="39"/>
      <c r="D1873" s="29">
        <v>1500.0</v>
      </c>
      <c r="E1873" s="25">
        <f t="shared" si="300"/>
        <v>192</v>
      </c>
    </row>
    <row r="1874" ht="15.75" customHeight="1">
      <c r="A1874" s="62"/>
      <c r="B1874" s="316" t="s">
        <v>19</v>
      </c>
      <c r="C1874" s="166">
        <f>SUM(C1868:C1869)</f>
        <v>18910</v>
      </c>
      <c r="D1874" s="32">
        <f>SUM(D1870:D1873)</f>
        <v>14943.15789</v>
      </c>
      <c r="E1874" s="25"/>
    </row>
    <row r="1875" ht="15.75" customHeight="1">
      <c r="A1875" s="62"/>
      <c r="B1875" s="316" t="s">
        <v>20</v>
      </c>
      <c r="C1875" s="39"/>
      <c r="D1875" s="32">
        <f>C1874-D1874</f>
        <v>3966.842105</v>
      </c>
      <c r="E1875" s="25"/>
    </row>
    <row r="1876" ht="15.75" customHeight="1">
      <c r="A1876" s="317"/>
      <c r="B1876" s="318" t="s">
        <v>364</v>
      </c>
      <c r="C1876" s="142">
        <f t="shared" ref="C1876:D1876" si="301">C1854+C1844+C1832+C1865+C1874</f>
        <v>172774</v>
      </c>
      <c r="D1876" s="319">
        <f t="shared" si="301"/>
        <v>166089.7368</v>
      </c>
      <c r="E1876" s="148"/>
    </row>
    <row r="1877" ht="15.75" customHeight="1">
      <c r="A1877" s="317"/>
      <c r="B1877" s="318" t="s">
        <v>365</v>
      </c>
      <c r="C1877" s="142"/>
      <c r="D1877" s="319">
        <f>C1876-D1876</f>
        <v>6684.263158</v>
      </c>
      <c r="E1877" s="148"/>
    </row>
    <row r="1878" ht="15.75" customHeight="1">
      <c r="A1878" s="277"/>
      <c r="B1878" s="278" t="s">
        <v>366</v>
      </c>
      <c r="C1878" s="279"/>
      <c r="D1878" s="280"/>
      <c r="E1878" s="281"/>
    </row>
    <row r="1879" ht="15.75" customHeight="1">
      <c r="A1879" s="97">
        <v>182340.0</v>
      </c>
      <c r="B1879" s="288" t="s">
        <v>367</v>
      </c>
      <c r="C1879" s="75"/>
      <c r="D1879" s="76"/>
      <c r="E1879" s="177"/>
    </row>
    <row r="1880" ht="15.75" hidden="1" customHeight="1">
      <c r="A1880" s="62">
        <v>3011.0</v>
      </c>
      <c r="B1880" s="98" t="s">
        <v>22</v>
      </c>
      <c r="C1880" s="39">
        <v>0.0</v>
      </c>
      <c r="D1880" s="22"/>
      <c r="E1880" s="25">
        <f>E1864+1</f>
        <v>187</v>
      </c>
    </row>
    <row r="1881" ht="15.75" hidden="1" customHeight="1">
      <c r="A1881" s="62">
        <v>3030.0</v>
      </c>
      <c r="B1881" s="98" t="s">
        <v>117</v>
      </c>
      <c r="C1881" s="68">
        <v>0.0</v>
      </c>
      <c r="D1881" s="22"/>
      <c r="E1881" s="25">
        <f t="shared" ref="E1881:E1888" si="302">E1880+1</f>
        <v>188</v>
      </c>
    </row>
    <row r="1882" ht="15.75" hidden="1" customHeight="1">
      <c r="A1882" s="62">
        <v>4012.0</v>
      </c>
      <c r="B1882" s="98" t="s">
        <v>118</v>
      </c>
      <c r="C1882" s="39"/>
      <c r="D1882" s="22">
        <f>C1881/1.9</f>
        <v>0</v>
      </c>
      <c r="E1882" s="25">
        <f t="shared" si="302"/>
        <v>189</v>
      </c>
    </row>
    <row r="1883" ht="15.75" hidden="1" customHeight="1">
      <c r="A1883" s="62">
        <v>4013.0</v>
      </c>
      <c r="B1883" s="98" t="s">
        <v>98</v>
      </c>
      <c r="C1883" s="39"/>
      <c r="D1883" s="29">
        <v>0.0</v>
      </c>
      <c r="E1883" s="25">
        <f t="shared" si="302"/>
        <v>190</v>
      </c>
    </row>
    <row r="1884" ht="15.75" hidden="1" customHeight="1">
      <c r="A1884" s="62">
        <v>4076.0</v>
      </c>
      <c r="B1884" s="98" t="s">
        <v>29</v>
      </c>
      <c r="C1884" s="39"/>
      <c r="D1884" s="29">
        <v>0.0</v>
      </c>
      <c r="E1884" s="25">
        <f t="shared" si="302"/>
        <v>191</v>
      </c>
    </row>
    <row r="1885" ht="15.75" hidden="1" customHeight="1">
      <c r="A1885" s="62">
        <v>4047.0</v>
      </c>
      <c r="B1885" s="98" t="s">
        <v>14</v>
      </c>
      <c r="C1885" s="39"/>
      <c r="D1885" s="29">
        <v>0.0</v>
      </c>
      <c r="E1885" s="25">
        <f t="shared" si="302"/>
        <v>192</v>
      </c>
    </row>
    <row r="1886" ht="15.75" hidden="1" customHeight="1">
      <c r="A1886" s="62">
        <v>4060.0</v>
      </c>
      <c r="B1886" s="98" t="s">
        <v>27</v>
      </c>
      <c r="C1886" s="39"/>
      <c r="D1886" s="29">
        <v>0.0</v>
      </c>
      <c r="E1886" s="25">
        <f t="shared" si="302"/>
        <v>193</v>
      </c>
    </row>
    <row r="1887" ht="15.75" hidden="1" customHeight="1">
      <c r="A1887" s="62">
        <v>4082.0</v>
      </c>
      <c r="B1887" s="98" t="s">
        <v>45</v>
      </c>
      <c r="C1887" s="39"/>
      <c r="D1887" s="29">
        <v>0.0</v>
      </c>
      <c r="E1887" s="25">
        <f t="shared" si="302"/>
        <v>194</v>
      </c>
    </row>
    <row r="1888" ht="15.75" hidden="1" customHeight="1">
      <c r="A1888" s="62">
        <v>4190.0</v>
      </c>
      <c r="B1888" s="98" t="s">
        <v>32</v>
      </c>
      <c r="C1888" s="39"/>
      <c r="D1888" s="29">
        <v>0.0</v>
      </c>
      <c r="E1888" s="25">
        <f t="shared" si="302"/>
        <v>195</v>
      </c>
    </row>
    <row r="1889" ht="15.75" hidden="1" customHeight="1">
      <c r="A1889" s="101"/>
      <c r="B1889" s="135" t="s">
        <v>19</v>
      </c>
      <c r="C1889" s="31">
        <f t="shared" ref="C1889:D1889" si="303">sum(C1880:C1888)</f>
        <v>0</v>
      </c>
      <c r="D1889" s="32">
        <f t="shared" si="303"/>
        <v>0</v>
      </c>
      <c r="E1889" s="25"/>
    </row>
    <row r="1890" ht="15.75" hidden="1" customHeight="1">
      <c r="A1890" s="101"/>
      <c r="B1890" s="136" t="s">
        <v>20</v>
      </c>
      <c r="C1890" s="39"/>
      <c r="D1890" s="32">
        <f>C1889-D1889</f>
        <v>0</v>
      </c>
      <c r="E1890" s="25"/>
    </row>
    <row r="1891" ht="15.75" customHeight="1">
      <c r="A1891" s="97">
        <v>182341.0</v>
      </c>
      <c r="B1891" s="288" t="s">
        <v>368</v>
      </c>
      <c r="C1891" s="75"/>
      <c r="D1891" s="76"/>
      <c r="E1891" s="177"/>
    </row>
    <row r="1892" ht="15.75" hidden="1" customHeight="1">
      <c r="A1892" s="62">
        <v>3011.0</v>
      </c>
      <c r="B1892" s="98" t="s">
        <v>22</v>
      </c>
      <c r="C1892" s="39">
        <v>0.0</v>
      </c>
      <c r="D1892" s="22"/>
      <c r="E1892" s="25">
        <f>E1888+1</f>
        <v>196</v>
      </c>
    </row>
    <row r="1893" ht="15.75" hidden="1" customHeight="1">
      <c r="A1893" s="62">
        <v>3030.0</v>
      </c>
      <c r="B1893" s="98" t="s">
        <v>117</v>
      </c>
      <c r="C1893" s="68">
        <v>0.0</v>
      </c>
      <c r="D1893" s="22"/>
      <c r="E1893" s="25">
        <f t="shared" ref="E1893:E1898" si="304">E1892+1</f>
        <v>197</v>
      </c>
    </row>
    <row r="1894" ht="15.75" hidden="1" customHeight="1">
      <c r="A1894" s="62">
        <v>4012.0</v>
      </c>
      <c r="B1894" s="98" t="s">
        <v>118</v>
      </c>
      <c r="C1894" s="39"/>
      <c r="D1894" s="22">
        <f>C1893/1.9</f>
        <v>0</v>
      </c>
      <c r="E1894" s="25">
        <f t="shared" si="304"/>
        <v>198</v>
      </c>
    </row>
    <row r="1895" ht="15.75" hidden="1" customHeight="1">
      <c r="A1895" s="62">
        <v>4013.0</v>
      </c>
      <c r="B1895" s="98" t="s">
        <v>98</v>
      </c>
      <c r="C1895" s="39"/>
      <c r="D1895" s="29">
        <v>0.0</v>
      </c>
      <c r="E1895" s="25">
        <f t="shared" si="304"/>
        <v>199</v>
      </c>
    </row>
    <row r="1896" ht="15.75" hidden="1" customHeight="1">
      <c r="A1896" s="62">
        <v>4076.0</v>
      </c>
      <c r="B1896" s="98" t="s">
        <v>29</v>
      </c>
      <c r="C1896" s="39"/>
      <c r="D1896" s="29">
        <v>0.0</v>
      </c>
      <c r="E1896" s="25">
        <f t="shared" si="304"/>
        <v>200</v>
      </c>
    </row>
    <row r="1897" ht="15.75" hidden="1" customHeight="1">
      <c r="A1897" s="62">
        <v>4078.0</v>
      </c>
      <c r="B1897" s="98" t="s">
        <v>30</v>
      </c>
      <c r="C1897" s="39"/>
      <c r="D1897" s="29">
        <v>0.0</v>
      </c>
      <c r="E1897" s="25">
        <f t="shared" si="304"/>
        <v>201</v>
      </c>
    </row>
    <row r="1898" ht="15.75" hidden="1" customHeight="1">
      <c r="A1898" s="62">
        <v>6993.0</v>
      </c>
      <c r="B1898" s="98" t="s">
        <v>115</v>
      </c>
      <c r="C1898" s="39"/>
      <c r="D1898" s="22">
        <v>0.0</v>
      </c>
      <c r="E1898" s="25">
        <f t="shared" si="304"/>
        <v>202</v>
      </c>
    </row>
    <row r="1899" ht="15.75" hidden="1" customHeight="1">
      <c r="A1899" s="101"/>
      <c r="B1899" s="135" t="s">
        <v>19</v>
      </c>
      <c r="C1899" s="31">
        <f t="shared" ref="C1899:D1899" si="305">sum(C1892:C1898)</f>
        <v>0</v>
      </c>
      <c r="D1899" s="32">
        <f t="shared" si="305"/>
        <v>0</v>
      </c>
      <c r="E1899" s="25"/>
    </row>
    <row r="1900" ht="15.75" hidden="1" customHeight="1">
      <c r="A1900" s="101"/>
      <c r="B1900" s="136" t="s">
        <v>20</v>
      </c>
      <c r="C1900" s="39"/>
      <c r="D1900" s="32">
        <f>C1899-D1899</f>
        <v>0</v>
      </c>
      <c r="E1900" s="25"/>
    </row>
    <row r="1901" ht="15.75" customHeight="1">
      <c r="A1901" s="97">
        <v>182342.0</v>
      </c>
      <c r="B1901" s="76" t="s">
        <v>369</v>
      </c>
      <c r="C1901" s="75"/>
      <c r="D1901" s="76"/>
      <c r="E1901" s="177"/>
    </row>
    <row r="1902" ht="15.75" hidden="1" customHeight="1">
      <c r="A1902" s="62">
        <v>3011.0</v>
      </c>
      <c r="B1902" s="98" t="s">
        <v>22</v>
      </c>
      <c r="C1902" s="39">
        <v>0.0</v>
      </c>
      <c r="D1902" s="22"/>
      <c r="E1902" s="25">
        <f>E1898+1</f>
        <v>203</v>
      </c>
    </row>
    <row r="1903" ht="15.75" hidden="1" customHeight="1">
      <c r="A1903" s="62">
        <v>3030.0</v>
      </c>
      <c r="B1903" s="98" t="s">
        <v>117</v>
      </c>
      <c r="C1903" s="39">
        <v>0.0</v>
      </c>
      <c r="D1903" s="22"/>
      <c r="E1903" s="25">
        <f t="shared" ref="E1903:E1905" si="306">E1902+1</f>
        <v>204</v>
      </c>
    </row>
    <row r="1904" ht="15.75" hidden="1" customHeight="1">
      <c r="A1904" s="62">
        <v>4012.0</v>
      </c>
      <c r="B1904" s="98" t="s">
        <v>118</v>
      </c>
      <c r="C1904" s="39"/>
      <c r="D1904" s="22">
        <v>0.0</v>
      </c>
      <c r="E1904" s="25">
        <f t="shared" si="306"/>
        <v>205</v>
      </c>
    </row>
    <row r="1905" ht="15.75" hidden="1" customHeight="1">
      <c r="A1905" s="62">
        <v>4076.0</v>
      </c>
      <c r="B1905" s="98" t="s">
        <v>29</v>
      </c>
      <c r="C1905" s="39"/>
      <c r="D1905" s="22">
        <v>0.0</v>
      </c>
      <c r="E1905" s="25">
        <f t="shared" si="306"/>
        <v>206</v>
      </c>
    </row>
    <row r="1906" ht="15.75" hidden="1" customHeight="1">
      <c r="A1906" s="62">
        <v>4013.0</v>
      </c>
      <c r="B1906" s="98" t="s">
        <v>98</v>
      </c>
      <c r="C1906" s="39"/>
      <c r="D1906" s="22">
        <v>0.0</v>
      </c>
      <c r="E1906" s="25">
        <f>E1904+1</f>
        <v>206</v>
      </c>
    </row>
    <row r="1907" ht="15.75" hidden="1" customHeight="1">
      <c r="A1907" s="62">
        <v>4078.0</v>
      </c>
      <c r="B1907" s="98" t="s">
        <v>30</v>
      </c>
      <c r="C1907" s="39"/>
      <c r="D1907" s="22">
        <v>0.0</v>
      </c>
      <c r="E1907" s="25">
        <f t="shared" ref="E1907:E1908" si="307">E1906+1</f>
        <v>207</v>
      </c>
    </row>
    <row r="1908" ht="15.75" hidden="1" customHeight="1">
      <c r="A1908" s="62">
        <v>6993.0</v>
      </c>
      <c r="B1908" s="98" t="s">
        <v>115</v>
      </c>
      <c r="C1908" s="39"/>
      <c r="D1908" s="22">
        <v>0.0</v>
      </c>
      <c r="E1908" s="25">
        <f t="shared" si="307"/>
        <v>208</v>
      </c>
    </row>
    <row r="1909" ht="15.75" hidden="1" customHeight="1">
      <c r="A1909" s="101"/>
      <c r="B1909" s="135" t="s">
        <v>19</v>
      </c>
      <c r="C1909" s="31">
        <f t="shared" ref="C1909:D1909" si="308">sum(C1902:C1908)</f>
        <v>0</v>
      </c>
      <c r="D1909" s="32">
        <f t="shared" si="308"/>
        <v>0</v>
      </c>
      <c r="E1909" s="25"/>
    </row>
    <row r="1910" ht="15.75" hidden="1" customHeight="1">
      <c r="A1910" s="101"/>
      <c r="B1910" s="136" t="s">
        <v>20</v>
      </c>
      <c r="C1910" s="39"/>
      <c r="D1910" s="32">
        <f>C1909-D1909</f>
        <v>0</v>
      </c>
      <c r="E1910" s="25"/>
    </row>
    <row r="1911" ht="15.75" customHeight="1">
      <c r="A1911" s="320"/>
      <c r="B1911" s="318" t="s">
        <v>370</v>
      </c>
      <c r="C1911" s="142">
        <f t="shared" ref="C1911:D1911" si="309">C1909+C1899+C1889</f>
        <v>0</v>
      </c>
      <c r="D1911" s="319">
        <f t="shared" si="309"/>
        <v>0</v>
      </c>
      <c r="E1911" s="177"/>
    </row>
    <row r="1912" ht="15.75" customHeight="1">
      <c r="A1912" s="320"/>
      <c r="B1912" s="318" t="s">
        <v>371</v>
      </c>
      <c r="C1912" s="142"/>
      <c r="D1912" s="319">
        <f>C1911-D1911</f>
        <v>0</v>
      </c>
      <c r="E1912" s="177"/>
    </row>
    <row r="1913" ht="15.75" hidden="1" customHeight="1">
      <c r="A1913" s="124" t="s">
        <v>372</v>
      </c>
      <c r="B1913" s="271" t="s">
        <v>49</v>
      </c>
      <c r="C1913" s="321">
        <v>0.0</v>
      </c>
      <c r="D1913" s="322">
        <v>0.0</v>
      </c>
      <c r="E1913" s="177"/>
    </row>
    <row r="1914" ht="15.75" hidden="1" customHeight="1">
      <c r="A1914" s="101">
        <v>3011.0</v>
      </c>
      <c r="B1914" s="102" t="s">
        <v>22</v>
      </c>
      <c r="C1914" s="39">
        <v>0.0</v>
      </c>
      <c r="D1914" s="22"/>
      <c r="E1914" s="25">
        <f t="shared" ref="E1914:E1920" si="310">E1913+1</f>
        <v>1</v>
      </c>
    </row>
    <row r="1915" ht="15.75" hidden="1" customHeight="1">
      <c r="A1915" s="101">
        <v>3030.0</v>
      </c>
      <c r="B1915" s="98" t="s">
        <v>117</v>
      </c>
      <c r="C1915" s="39">
        <v>0.0</v>
      </c>
      <c r="D1915" s="22"/>
      <c r="E1915" s="25">
        <f t="shared" si="310"/>
        <v>2</v>
      </c>
    </row>
    <row r="1916" ht="15.75" hidden="1" customHeight="1">
      <c r="A1916" s="62">
        <v>4012.0</v>
      </c>
      <c r="B1916" s="98" t="s">
        <v>118</v>
      </c>
      <c r="C1916" s="39"/>
      <c r="D1916" s="22">
        <v>0.0</v>
      </c>
      <c r="E1916" s="25">
        <f t="shared" si="310"/>
        <v>3</v>
      </c>
    </row>
    <row r="1917" ht="15.75" hidden="1" customHeight="1">
      <c r="A1917" s="62">
        <v>4013.0</v>
      </c>
      <c r="B1917" s="98" t="s">
        <v>98</v>
      </c>
      <c r="C1917" s="39"/>
      <c r="D1917" s="22">
        <v>0.0</v>
      </c>
      <c r="E1917" s="25">
        <f t="shared" si="310"/>
        <v>4</v>
      </c>
    </row>
    <row r="1918" ht="15.75" hidden="1" customHeight="1">
      <c r="A1918" s="101">
        <v>4047.0</v>
      </c>
      <c r="B1918" s="102" t="s">
        <v>14</v>
      </c>
      <c r="C1918" s="39"/>
      <c r="D1918" s="22">
        <v>0.0</v>
      </c>
      <c r="E1918" s="25">
        <f t="shared" si="310"/>
        <v>5</v>
      </c>
    </row>
    <row r="1919" ht="15.75" hidden="1" customHeight="1">
      <c r="A1919" s="62">
        <v>4060.0</v>
      </c>
      <c r="B1919" s="98" t="s">
        <v>27</v>
      </c>
      <c r="C1919" s="39"/>
      <c r="D1919" s="22">
        <v>0.0</v>
      </c>
      <c r="E1919" s="25">
        <f t="shared" si="310"/>
        <v>6</v>
      </c>
    </row>
    <row r="1920" ht="15.75" hidden="1" customHeight="1">
      <c r="A1920" s="101">
        <v>4190.0</v>
      </c>
      <c r="B1920" s="102" t="s">
        <v>32</v>
      </c>
      <c r="C1920" s="39"/>
      <c r="D1920" s="22">
        <v>0.0</v>
      </c>
      <c r="E1920" s="25">
        <f t="shared" si="310"/>
        <v>7</v>
      </c>
    </row>
    <row r="1921" ht="15.75" hidden="1" customHeight="1">
      <c r="A1921" s="101">
        <v>5810.0</v>
      </c>
      <c r="B1921" s="102" t="s">
        <v>34</v>
      </c>
      <c r="C1921" s="39"/>
      <c r="D1921" s="22"/>
      <c r="E1921" s="25"/>
    </row>
    <row r="1922" ht="15.75" hidden="1" customHeight="1">
      <c r="A1922" s="101"/>
      <c r="B1922" s="106" t="s">
        <v>19</v>
      </c>
      <c r="C1922" s="31">
        <f t="shared" ref="C1922:D1922" si="311">SUM(C1914:C1921)</f>
        <v>0</v>
      </c>
      <c r="D1922" s="32">
        <f t="shared" si="311"/>
        <v>0</v>
      </c>
      <c r="E1922" s="25"/>
    </row>
    <row r="1923" ht="15.75" hidden="1" customHeight="1">
      <c r="A1923" s="101"/>
      <c r="B1923" s="136" t="s">
        <v>20</v>
      </c>
      <c r="C1923" s="53"/>
      <c r="D1923" s="32">
        <f>C1922-D1922</f>
        <v>0</v>
      </c>
      <c r="E1923" s="40"/>
    </row>
    <row r="1924" ht="15.75" hidden="1" customHeight="1">
      <c r="A1924" s="124" t="s">
        <v>373</v>
      </c>
      <c r="B1924" s="271" t="s">
        <v>374</v>
      </c>
      <c r="C1924" s="35">
        <v>0.0</v>
      </c>
      <c r="D1924" s="50">
        <v>0.0</v>
      </c>
      <c r="E1924" s="37"/>
    </row>
    <row r="1925" ht="15.75" hidden="1" customHeight="1">
      <c r="A1925" s="101">
        <v>3010.0</v>
      </c>
      <c r="B1925" s="102" t="s">
        <v>2</v>
      </c>
      <c r="C1925" s="39"/>
      <c r="D1925" s="22"/>
      <c r="E1925" s="25">
        <f t="shared" ref="E1925:E1936" si="312">E1924+1</f>
        <v>1</v>
      </c>
    </row>
    <row r="1926" ht="15.75" hidden="1" customHeight="1">
      <c r="A1926" s="62">
        <v>3011.0</v>
      </c>
      <c r="B1926" s="98" t="s">
        <v>22</v>
      </c>
      <c r="C1926" s="39"/>
      <c r="D1926" s="22"/>
      <c r="E1926" s="25">
        <f t="shared" si="312"/>
        <v>2</v>
      </c>
    </row>
    <row r="1927" ht="15.75" hidden="1" customHeight="1">
      <c r="A1927" s="62">
        <v>3030.0</v>
      </c>
      <c r="B1927" s="98" t="s">
        <v>117</v>
      </c>
      <c r="C1927" s="39"/>
      <c r="D1927" s="22"/>
      <c r="E1927" s="25">
        <f t="shared" si="312"/>
        <v>3</v>
      </c>
    </row>
    <row r="1928" ht="15.75" hidden="1" customHeight="1">
      <c r="A1928" s="62">
        <v>4010.0</v>
      </c>
      <c r="B1928" s="98" t="s">
        <v>48</v>
      </c>
      <c r="C1928" s="39"/>
      <c r="D1928" s="22"/>
      <c r="E1928" s="25">
        <f t="shared" si="312"/>
        <v>4</v>
      </c>
    </row>
    <row r="1929" ht="15.75" hidden="1" customHeight="1">
      <c r="A1929" s="62">
        <v>4012.0</v>
      </c>
      <c r="B1929" s="98" t="s">
        <v>118</v>
      </c>
      <c r="C1929" s="39"/>
      <c r="D1929" s="22"/>
      <c r="E1929" s="25">
        <f t="shared" si="312"/>
        <v>5</v>
      </c>
    </row>
    <row r="1930" ht="15.75" hidden="1" customHeight="1">
      <c r="A1930" s="62">
        <v>4013.0</v>
      </c>
      <c r="B1930" s="98" t="s">
        <v>98</v>
      </c>
      <c r="C1930" s="39"/>
      <c r="D1930" s="22"/>
      <c r="E1930" s="25">
        <f t="shared" si="312"/>
        <v>6</v>
      </c>
    </row>
    <row r="1931" ht="15.75" hidden="1" customHeight="1">
      <c r="A1931" s="62">
        <v>4047.0</v>
      </c>
      <c r="B1931" s="100" t="s">
        <v>14</v>
      </c>
      <c r="C1931" s="39"/>
      <c r="D1931" s="22"/>
      <c r="E1931" s="25">
        <f t="shared" si="312"/>
        <v>7</v>
      </c>
    </row>
    <row r="1932" ht="15.75" hidden="1" customHeight="1">
      <c r="A1932" s="62">
        <v>4069.0</v>
      </c>
      <c r="B1932" s="100" t="s">
        <v>181</v>
      </c>
      <c r="C1932" s="39"/>
      <c r="D1932" s="22"/>
      <c r="E1932" s="25">
        <f t="shared" si="312"/>
        <v>8</v>
      </c>
    </row>
    <row r="1933" ht="15.75" hidden="1" customHeight="1">
      <c r="A1933" s="62">
        <v>4076.0</v>
      </c>
      <c r="B1933" s="100" t="s">
        <v>29</v>
      </c>
      <c r="C1933" s="39"/>
      <c r="D1933" s="22"/>
      <c r="E1933" s="25">
        <f t="shared" si="312"/>
        <v>9</v>
      </c>
    </row>
    <row r="1934" ht="15.75" hidden="1" customHeight="1">
      <c r="A1934" s="62">
        <v>4078.0</v>
      </c>
      <c r="B1934" s="100" t="s">
        <v>30</v>
      </c>
      <c r="C1934" s="39"/>
      <c r="D1934" s="22"/>
      <c r="E1934" s="25">
        <f t="shared" si="312"/>
        <v>10</v>
      </c>
    </row>
    <row r="1935" ht="15.75" hidden="1" customHeight="1">
      <c r="A1935" s="62">
        <v>4190.0</v>
      </c>
      <c r="B1935" s="100" t="s">
        <v>32</v>
      </c>
      <c r="C1935" s="39"/>
      <c r="D1935" s="22"/>
      <c r="E1935" s="25">
        <f t="shared" si="312"/>
        <v>11</v>
      </c>
    </row>
    <row r="1936" ht="15.75" hidden="1" customHeight="1">
      <c r="A1936" s="101">
        <v>5710.0</v>
      </c>
      <c r="B1936" s="102" t="s">
        <v>143</v>
      </c>
      <c r="C1936" s="39"/>
      <c r="D1936" s="22"/>
      <c r="E1936" s="25">
        <f t="shared" si="312"/>
        <v>12</v>
      </c>
    </row>
    <row r="1937" ht="15.75" hidden="1" customHeight="1">
      <c r="A1937" s="101"/>
      <c r="B1937" s="106" t="s">
        <v>19</v>
      </c>
      <c r="C1937" s="31">
        <f t="shared" ref="C1937:D1937" si="313">SUM(C1925:C1936)</f>
        <v>0</v>
      </c>
      <c r="D1937" s="32">
        <f t="shared" si="313"/>
        <v>0</v>
      </c>
      <c r="E1937" s="25"/>
    </row>
    <row r="1938" ht="15.75" hidden="1" customHeight="1">
      <c r="A1938" s="101"/>
      <c r="B1938" s="136" t="s">
        <v>20</v>
      </c>
      <c r="C1938" s="53"/>
      <c r="D1938" s="32">
        <f>C1937-D1937</f>
        <v>0</v>
      </c>
      <c r="E1938" s="40"/>
    </row>
    <row r="1939" ht="15.75" hidden="1" customHeight="1">
      <c r="A1939" s="124" t="s">
        <v>375</v>
      </c>
      <c r="B1939" s="271" t="s">
        <v>376</v>
      </c>
      <c r="C1939" s="35">
        <v>0.0</v>
      </c>
      <c r="D1939" s="50">
        <v>0.0</v>
      </c>
      <c r="E1939" s="37"/>
    </row>
    <row r="1940" ht="15.75" hidden="1" customHeight="1">
      <c r="A1940" s="62">
        <v>3011.0</v>
      </c>
      <c r="B1940" s="100" t="s">
        <v>22</v>
      </c>
      <c r="C1940" s="39">
        <v>0.0</v>
      </c>
      <c r="D1940" s="22"/>
      <c r="E1940" s="25">
        <f t="shared" ref="E1940:E1942" si="314">E1939+1</f>
        <v>1</v>
      </c>
    </row>
    <row r="1941" ht="15.75" hidden="1" customHeight="1">
      <c r="A1941" s="62">
        <v>4047.0</v>
      </c>
      <c r="B1941" s="100" t="s">
        <v>14</v>
      </c>
      <c r="C1941" s="39"/>
      <c r="D1941" s="22">
        <v>0.0</v>
      </c>
      <c r="E1941" s="25">
        <f t="shared" si="314"/>
        <v>2</v>
      </c>
    </row>
    <row r="1942" ht="15.75" hidden="1" customHeight="1">
      <c r="A1942" s="62">
        <v>4013.0</v>
      </c>
      <c r="B1942" s="98" t="s">
        <v>98</v>
      </c>
      <c r="C1942" s="39"/>
      <c r="D1942" s="22">
        <v>0.0</v>
      </c>
      <c r="E1942" s="25">
        <f t="shared" si="314"/>
        <v>3</v>
      </c>
    </row>
    <row r="1943" ht="15.75" hidden="1" customHeight="1">
      <c r="A1943" s="62"/>
      <c r="B1943" s="106" t="s">
        <v>19</v>
      </c>
      <c r="C1943" s="31">
        <f t="shared" ref="C1943:D1943" si="315">SUM(C1940:C1942)</f>
        <v>0</v>
      </c>
      <c r="D1943" s="32">
        <f t="shared" si="315"/>
        <v>0</v>
      </c>
      <c r="E1943" s="25"/>
    </row>
    <row r="1944" ht="15.75" hidden="1" customHeight="1">
      <c r="A1944" s="101"/>
      <c r="B1944" s="136" t="s">
        <v>20</v>
      </c>
      <c r="C1944" s="53"/>
      <c r="D1944" s="32">
        <f>C1943-D1943</f>
        <v>0</v>
      </c>
      <c r="E1944" s="40"/>
    </row>
    <row r="1945" ht="15.75" hidden="1" customHeight="1">
      <c r="A1945" s="124" t="s">
        <v>377</v>
      </c>
      <c r="B1945" s="271" t="s">
        <v>378</v>
      </c>
      <c r="C1945" s="35">
        <v>0.0</v>
      </c>
      <c r="D1945" s="50">
        <v>0.0</v>
      </c>
      <c r="E1945" s="37"/>
    </row>
    <row r="1946" ht="15.75" hidden="1" customHeight="1">
      <c r="A1946" s="62">
        <v>3011.0</v>
      </c>
      <c r="B1946" s="100" t="s">
        <v>22</v>
      </c>
      <c r="C1946" s="39">
        <v>0.0</v>
      </c>
      <c r="D1946" s="22"/>
      <c r="E1946" s="25">
        <f t="shared" ref="E1946:E1948" si="316">E1945+1</f>
        <v>1</v>
      </c>
    </row>
    <row r="1947" ht="15.75" hidden="1" customHeight="1">
      <c r="A1947" s="62">
        <v>4013.0</v>
      </c>
      <c r="B1947" s="98" t="s">
        <v>98</v>
      </c>
      <c r="C1947" s="39"/>
      <c r="D1947" s="22">
        <v>0.0</v>
      </c>
      <c r="E1947" s="25">
        <f t="shared" si="316"/>
        <v>2</v>
      </c>
    </row>
    <row r="1948" ht="15.75" hidden="1" customHeight="1">
      <c r="A1948" s="62">
        <v>4047.0</v>
      </c>
      <c r="B1948" s="100" t="s">
        <v>14</v>
      </c>
      <c r="C1948" s="39"/>
      <c r="D1948" s="22">
        <v>0.0</v>
      </c>
      <c r="E1948" s="25">
        <f t="shared" si="316"/>
        <v>3</v>
      </c>
    </row>
    <row r="1949" ht="15.75" hidden="1" customHeight="1">
      <c r="A1949" s="62"/>
      <c r="B1949" s="106" t="s">
        <v>19</v>
      </c>
      <c r="C1949" s="31">
        <f t="shared" ref="C1949:D1949" si="317">SUM(C1946:C1948)</f>
        <v>0</v>
      </c>
      <c r="D1949" s="32">
        <f t="shared" si="317"/>
        <v>0</v>
      </c>
      <c r="E1949" s="25"/>
    </row>
    <row r="1950" ht="15.75" hidden="1" customHeight="1">
      <c r="A1950" s="101"/>
      <c r="B1950" s="136" t="s">
        <v>20</v>
      </c>
      <c r="C1950" s="53"/>
      <c r="D1950" s="32">
        <f>C1949-D1949</f>
        <v>0</v>
      </c>
      <c r="E1950" s="40"/>
    </row>
    <row r="1951" ht="15.75" hidden="1" customHeight="1">
      <c r="A1951" s="124" t="s">
        <v>379</v>
      </c>
      <c r="B1951" s="271" t="s">
        <v>380</v>
      </c>
      <c r="C1951" s="35">
        <v>0.0</v>
      </c>
      <c r="D1951" s="50">
        <v>0.0</v>
      </c>
      <c r="E1951" s="37"/>
    </row>
    <row r="1952" ht="15.75" hidden="1" customHeight="1">
      <c r="A1952" s="62">
        <v>3011.0</v>
      </c>
      <c r="B1952" s="100" t="s">
        <v>22</v>
      </c>
      <c r="C1952" s="39">
        <v>0.0</v>
      </c>
      <c r="D1952" s="22"/>
      <c r="E1952" s="25">
        <f t="shared" ref="E1952:E1954" si="318">E1951+1</f>
        <v>1</v>
      </c>
    </row>
    <row r="1953" ht="15.75" hidden="1" customHeight="1">
      <c r="A1953" s="62">
        <v>4013.0</v>
      </c>
      <c r="B1953" s="98" t="s">
        <v>98</v>
      </c>
      <c r="C1953" s="39"/>
      <c r="D1953" s="22">
        <v>0.0</v>
      </c>
      <c r="E1953" s="25">
        <f t="shared" si="318"/>
        <v>2</v>
      </c>
    </row>
    <row r="1954" ht="15.75" hidden="1" customHeight="1">
      <c r="A1954" s="62">
        <v>4076.0</v>
      </c>
      <c r="B1954" s="100" t="s">
        <v>29</v>
      </c>
      <c r="C1954" s="39"/>
      <c r="D1954" s="22">
        <v>0.0</v>
      </c>
      <c r="E1954" s="25">
        <f t="shared" si="318"/>
        <v>3</v>
      </c>
    </row>
    <row r="1955" ht="15.75" hidden="1" customHeight="1">
      <c r="A1955" s="62"/>
      <c r="B1955" s="106" t="s">
        <v>19</v>
      </c>
      <c r="C1955" s="31">
        <f t="shared" ref="C1955:D1955" si="319">SUM(C1952:C1954)</f>
        <v>0</v>
      </c>
      <c r="D1955" s="32">
        <f t="shared" si="319"/>
        <v>0</v>
      </c>
      <c r="E1955" s="25"/>
    </row>
    <row r="1956" ht="15.75" hidden="1" customHeight="1">
      <c r="A1956" s="101"/>
      <c r="B1956" s="136" t="s">
        <v>20</v>
      </c>
      <c r="C1956" s="53"/>
      <c r="D1956" s="32">
        <f>C1955-D1955</f>
        <v>0</v>
      </c>
      <c r="E1956" s="40"/>
    </row>
    <row r="1957" ht="15.75" hidden="1" customHeight="1">
      <c r="A1957" s="323" t="s">
        <v>381</v>
      </c>
      <c r="B1957" s="324" t="s">
        <v>382</v>
      </c>
      <c r="C1957" s="325">
        <v>0.0</v>
      </c>
      <c r="D1957" s="326">
        <v>0.0</v>
      </c>
      <c r="E1957" s="37"/>
    </row>
    <row r="1958" ht="15.75" hidden="1" customHeight="1">
      <c r="A1958" s="327">
        <v>3011.0</v>
      </c>
      <c r="B1958" s="328" t="s">
        <v>22</v>
      </c>
      <c r="C1958" s="39">
        <v>0.0</v>
      </c>
      <c r="D1958" s="22"/>
      <c r="E1958" s="25">
        <f t="shared" ref="E1958:E1960" si="320">E1957+1</f>
        <v>1</v>
      </c>
    </row>
    <row r="1959" ht="15.75" hidden="1" customHeight="1">
      <c r="A1959" s="62">
        <v>4013.0</v>
      </c>
      <c r="B1959" s="98" t="s">
        <v>98</v>
      </c>
      <c r="C1959" s="39"/>
      <c r="D1959" s="22">
        <v>0.0</v>
      </c>
      <c r="E1959" s="25">
        <f t="shared" si="320"/>
        <v>2</v>
      </c>
    </row>
    <row r="1960" ht="15.75" hidden="1" customHeight="1">
      <c r="A1960" s="327">
        <v>4076.0</v>
      </c>
      <c r="B1960" s="328" t="s">
        <v>29</v>
      </c>
      <c r="C1960" s="39"/>
      <c r="D1960" s="22">
        <v>0.0</v>
      </c>
      <c r="E1960" s="25">
        <f t="shared" si="320"/>
        <v>3</v>
      </c>
    </row>
    <row r="1961" ht="15.75" hidden="1" customHeight="1">
      <c r="A1961" s="327"/>
      <c r="B1961" s="329" t="s">
        <v>19</v>
      </c>
      <c r="C1961" s="31">
        <f t="shared" ref="C1961:D1961" si="321">SUM(C1958:C1960)</f>
        <v>0</v>
      </c>
      <c r="D1961" s="32">
        <f t="shared" si="321"/>
        <v>0</v>
      </c>
      <c r="E1961" s="25"/>
    </row>
    <row r="1962" ht="15.75" hidden="1" customHeight="1">
      <c r="A1962" s="101"/>
      <c r="B1962" s="136" t="s">
        <v>20</v>
      </c>
      <c r="C1962" s="53"/>
      <c r="D1962" s="32">
        <f>C1961-D1961</f>
        <v>0</v>
      </c>
      <c r="E1962" s="40"/>
    </row>
    <row r="1963" ht="15.75" hidden="1" customHeight="1">
      <c r="A1963" s="330"/>
      <c r="B1963" s="331" t="s">
        <v>383</v>
      </c>
      <c r="C1963" s="332">
        <f>C1937+C1922+C1961+C1955+C1949+C1943</f>
        <v>0</v>
      </c>
      <c r="D1963" s="92">
        <f>D1937+D1922+D1961+D1943+D1949+D1955</f>
        <v>0</v>
      </c>
      <c r="E1963" s="333"/>
    </row>
    <row r="1964" ht="15.75" hidden="1" customHeight="1">
      <c r="A1964" s="330"/>
      <c r="B1964" s="331" t="s">
        <v>384</v>
      </c>
      <c r="C1964" s="332"/>
      <c r="D1964" s="92">
        <f>C1963-D1963</f>
        <v>0</v>
      </c>
      <c r="E1964" s="333"/>
    </row>
    <row r="1965" ht="15.75" customHeight="1">
      <c r="A1965" s="6"/>
      <c r="B1965" s="15" t="s">
        <v>385</v>
      </c>
      <c r="C1965" s="334"/>
      <c r="D1965" s="335"/>
      <c r="E1965" s="9"/>
    </row>
    <row r="1966" ht="15.75" customHeight="1">
      <c r="A1966" s="97">
        <v>182360.0</v>
      </c>
      <c r="B1966" s="324" t="s">
        <v>386</v>
      </c>
      <c r="C1966" s="75"/>
      <c r="D1966" s="76"/>
      <c r="E1966" s="177"/>
    </row>
    <row r="1967" ht="15.75" customHeight="1">
      <c r="A1967" s="62">
        <v>3011.0</v>
      </c>
      <c r="B1967" s="98" t="s">
        <v>22</v>
      </c>
      <c r="C1967" s="170">
        <f>120*150</f>
        <v>18000</v>
      </c>
      <c r="D1967" s="22"/>
      <c r="E1967" s="24">
        <f>E1908+1</f>
        <v>209</v>
      </c>
    </row>
    <row r="1968" ht="15.75" customHeight="1">
      <c r="A1968" s="62">
        <v>3110.0</v>
      </c>
      <c r="B1968" s="98" t="s">
        <v>111</v>
      </c>
      <c r="C1968" s="170">
        <f>40000+0.8*40000*2+0.9*40000+20000</f>
        <v>160000</v>
      </c>
      <c r="D1968" s="22"/>
      <c r="E1968" s="24">
        <f t="shared" ref="E1968:E1971" si="322">E1967+1</f>
        <v>210</v>
      </c>
    </row>
    <row r="1969" ht="15.75" customHeight="1">
      <c r="A1969" s="62">
        <v>3120.0</v>
      </c>
      <c r="B1969" s="98" t="s">
        <v>8</v>
      </c>
      <c r="C1969" s="170">
        <f>125000*0.65</f>
        <v>81250</v>
      </c>
      <c r="D1969" s="22"/>
      <c r="E1969" s="24">
        <f t="shared" si="322"/>
        <v>211</v>
      </c>
    </row>
    <row r="1970" ht="15.75" customHeight="1">
      <c r="A1970" s="62">
        <v>3980.0</v>
      </c>
      <c r="B1970" s="98" t="s">
        <v>387</v>
      </c>
      <c r="C1970" s="39">
        <v>0.0</v>
      </c>
      <c r="D1970" s="22"/>
      <c r="E1970" s="24">
        <f t="shared" si="322"/>
        <v>212</v>
      </c>
    </row>
    <row r="1971" ht="15.75" customHeight="1">
      <c r="A1971" s="108">
        <v>4047.0</v>
      </c>
      <c r="B1971" s="127" t="s">
        <v>14</v>
      </c>
      <c r="C1971" s="156"/>
      <c r="D1971" s="22">
        <f>500*20</f>
        <v>10000</v>
      </c>
      <c r="E1971" s="24">
        <f t="shared" si="322"/>
        <v>213</v>
      </c>
    </row>
    <row r="1972" ht="15.75" customHeight="1">
      <c r="A1972" s="62">
        <v>4060.0</v>
      </c>
      <c r="B1972" s="98" t="s">
        <v>27</v>
      </c>
      <c r="C1972" s="170"/>
      <c r="D1972" s="22">
        <f>25*(200*3+550)+50*25*3</f>
        <v>32500</v>
      </c>
      <c r="E1972" s="24">
        <f>E1970+1</f>
        <v>213</v>
      </c>
    </row>
    <row r="1973" ht="15.75" customHeight="1">
      <c r="A1973" s="62">
        <v>4076.0</v>
      </c>
      <c r="B1973" s="98" t="s">
        <v>29</v>
      </c>
      <c r="C1973" s="170"/>
      <c r="D1973" s="22">
        <f>C1967-2500</f>
        <v>15500</v>
      </c>
      <c r="E1973" s="24">
        <f t="shared" ref="E1973:E1977" si="323">E1972+1</f>
        <v>214</v>
      </c>
    </row>
    <row r="1974" ht="15.75" customHeight="1">
      <c r="A1974" s="62">
        <v>4082.0</v>
      </c>
      <c r="B1974" s="98" t="s">
        <v>45</v>
      </c>
      <c r="C1974" s="170"/>
      <c r="D1974" s="22">
        <f>4*300+21*200</f>
        <v>5400</v>
      </c>
      <c r="E1974" s="24">
        <f t="shared" si="323"/>
        <v>215</v>
      </c>
    </row>
    <row r="1975" ht="15.75" customHeight="1">
      <c r="A1975" s="62">
        <v>4190.0</v>
      </c>
      <c r="B1975" s="98" t="s">
        <v>32</v>
      </c>
      <c r="C1975" s="170"/>
      <c r="D1975" s="22">
        <f>4*600+21*500+20*100</f>
        <v>14900</v>
      </c>
      <c r="E1975" s="24">
        <f t="shared" si="323"/>
        <v>216</v>
      </c>
    </row>
    <row r="1976" ht="15.75" customHeight="1">
      <c r="A1976" s="62">
        <v>5710.0</v>
      </c>
      <c r="B1976" s="98" t="s">
        <v>143</v>
      </c>
      <c r="C1976" s="170"/>
      <c r="D1976" s="22">
        <v>4000.0</v>
      </c>
      <c r="E1976" s="24">
        <f t="shared" si="323"/>
        <v>217</v>
      </c>
    </row>
    <row r="1977" ht="15.75" customHeight="1">
      <c r="A1977" s="19">
        <v>6800.0</v>
      </c>
      <c r="B1977" s="20" t="s">
        <v>114</v>
      </c>
      <c r="C1977" s="170"/>
      <c r="D1977" s="22">
        <f>5*547.5*2</f>
        <v>5475</v>
      </c>
      <c r="E1977" s="24">
        <f t="shared" si="323"/>
        <v>218</v>
      </c>
    </row>
    <row r="1978" ht="15.75" customHeight="1">
      <c r="A1978" s="62"/>
      <c r="B1978" s="106" t="s">
        <v>19</v>
      </c>
      <c r="C1978" s="31">
        <f t="shared" ref="C1978:D1978" si="324">SUM(C1967:C1977)</f>
        <v>259250</v>
      </c>
      <c r="D1978" s="32">
        <f t="shared" si="324"/>
        <v>87775</v>
      </c>
      <c r="E1978" s="25"/>
    </row>
    <row r="1979" ht="15.75" customHeight="1">
      <c r="A1979" s="101"/>
      <c r="B1979" s="136" t="s">
        <v>20</v>
      </c>
      <c r="C1979" s="39"/>
      <c r="D1979" s="32">
        <f>C1978-D1978</f>
        <v>171475</v>
      </c>
      <c r="E1979" s="40"/>
    </row>
    <row r="1980" ht="15.75" customHeight="1">
      <c r="A1980" s="336">
        <v>182346.0</v>
      </c>
      <c r="B1980" s="324" t="s">
        <v>388</v>
      </c>
      <c r="C1980" s="35"/>
      <c r="D1980" s="36"/>
      <c r="E1980" s="37"/>
    </row>
    <row r="1981" ht="15.75" hidden="1" customHeight="1">
      <c r="A1981" s="62">
        <v>4060.0</v>
      </c>
      <c r="B1981" s="98" t="s">
        <v>27</v>
      </c>
      <c r="C1981" s="39"/>
      <c r="D1981" s="22"/>
      <c r="E1981" s="25">
        <f>E1977+1</f>
        <v>219</v>
      </c>
    </row>
    <row r="1982" ht="15.75" hidden="1" customHeight="1">
      <c r="A1982" s="101">
        <v>4076.0</v>
      </c>
      <c r="B1982" s="102" t="s">
        <v>29</v>
      </c>
      <c r="C1982" s="39"/>
      <c r="D1982" s="22"/>
      <c r="E1982" s="25">
        <f t="shared" ref="E1982:E1985" si="325">E1981+1</f>
        <v>220</v>
      </c>
    </row>
    <row r="1983" ht="15.75" hidden="1" customHeight="1">
      <c r="A1983" s="101">
        <v>4082.0</v>
      </c>
      <c r="B1983" s="102" t="s">
        <v>45</v>
      </c>
      <c r="C1983" s="39"/>
      <c r="D1983" s="22"/>
      <c r="E1983" s="25">
        <f t="shared" si="325"/>
        <v>221</v>
      </c>
    </row>
    <row r="1984" ht="15.75" hidden="1" customHeight="1">
      <c r="A1984" s="101">
        <v>4190.0</v>
      </c>
      <c r="B1984" s="102" t="s">
        <v>32</v>
      </c>
      <c r="C1984" s="39"/>
      <c r="D1984" s="22"/>
      <c r="E1984" s="25">
        <f t="shared" si="325"/>
        <v>222</v>
      </c>
    </row>
    <row r="1985" ht="15.75" hidden="1" customHeight="1">
      <c r="A1985" s="327">
        <v>4047.0</v>
      </c>
      <c r="B1985" s="328" t="s">
        <v>14</v>
      </c>
      <c r="C1985" s="39"/>
      <c r="D1985" s="22"/>
      <c r="E1985" s="25">
        <f t="shared" si="325"/>
        <v>223</v>
      </c>
    </row>
    <row r="1986" ht="15.75" hidden="1" customHeight="1">
      <c r="A1986" s="101"/>
      <c r="B1986" s="329" t="s">
        <v>19</v>
      </c>
      <c r="C1986" s="31">
        <f t="shared" ref="C1986:D1986" si="326">SUM(C1981:C1985)</f>
        <v>0</v>
      </c>
      <c r="D1986" s="32">
        <f t="shared" si="326"/>
        <v>0</v>
      </c>
      <c r="E1986" s="25"/>
    </row>
    <row r="1987" ht="15.75" hidden="1" customHeight="1">
      <c r="A1987" s="101"/>
      <c r="B1987" s="136" t="s">
        <v>20</v>
      </c>
      <c r="C1987" s="53"/>
      <c r="D1987" s="32">
        <f>C1986-D1986</f>
        <v>0</v>
      </c>
      <c r="E1987" s="40"/>
    </row>
    <row r="1988" ht="15.75" customHeight="1">
      <c r="A1988" s="97">
        <v>182361.0</v>
      </c>
      <c r="B1988" s="271" t="s">
        <v>389</v>
      </c>
      <c r="C1988" s="75"/>
      <c r="D1988" s="76"/>
      <c r="E1988" s="37"/>
    </row>
    <row r="1989" ht="15.75" customHeight="1">
      <c r="A1989" s="99">
        <v>3011.0</v>
      </c>
      <c r="B1989" s="98" t="s">
        <v>22</v>
      </c>
      <c r="C1989" s="156">
        <f>60*110+64*90</f>
        <v>12360</v>
      </c>
      <c r="D1989" s="196"/>
      <c r="E1989" s="337">
        <f>E1977+1</f>
        <v>219</v>
      </c>
    </row>
    <row r="1990" ht="15.75" customHeight="1">
      <c r="A1990" s="122">
        <v>3014.0</v>
      </c>
      <c r="B1990" s="127" t="s">
        <v>55</v>
      </c>
      <c r="C1990" s="156">
        <v>0.0</v>
      </c>
      <c r="D1990" s="196"/>
      <c r="E1990" s="337">
        <f t="shared" ref="E1990:E1996" si="327">E1989+1</f>
        <v>220</v>
      </c>
    </row>
    <row r="1991" ht="15.75" customHeight="1">
      <c r="A1991" s="122">
        <v>3030.0</v>
      </c>
      <c r="B1991" s="127" t="s">
        <v>117</v>
      </c>
      <c r="C1991" s="156">
        <f>45000*1.13</f>
        <v>50850</v>
      </c>
      <c r="D1991" s="196"/>
      <c r="E1991" s="337">
        <f t="shared" si="327"/>
        <v>221</v>
      </c>
    </row>
    <row r="1992" ht="15.75" customHeight="1">
      <c r="A1992" s="62">
        <v>4010.0</v>
      </c>
      <c r="B1992" s="98" t="s">
        <v>48</v>
      </c>
      <c r="C1992" s="156"/>
      <c r="D1992" s="57">
        <f>15000</f>
        <v>15000</v>
      </c>
      <c r="E1992" s="337">
        <f t="shared" si="327"/>
        <v>222</v>
      </c>
    </row>
    <row r="1993" ht="15.75" customHeight="1">
      <c r="A1993" s="122">
        <v>4012.0</v>
      </c>
      <c r="B1993" s="127" t="s">
        <v>118</v>
      </c>
      <c r="C1993" s="156"/>
      <c r="D1993" s="57">
        <f>C1991/1.9</f>
        <v>26763.15789</v>
      </c>
      <c r="E1993" s="337">
        <f t="shared" si="327"/>
        <v>223</v>
      </c>
    </row>
    <row r="1994" ht="15.75" customHeight="1">
      <c r="A1994" s="99">
        <v>4063.0</v>
      </c>
      <c r="B1994" s="98" t="s">
        <v>70</v>
      </c>
      <c r="C1994" s="156"/>
      <c r="D1994" s="57">
        <v>1000.0</v>
      </c>
      <c r="E1994" s="337">
        <f t="shared" si="327"/>
        <v>224</v>
      </c>
    </row>
    <row r="1995" ht="15.75" customHeight="1">
      <c r="A1995" s="108">
        <v>6993.0</v>
      </c>
      <c r="B1995" s="127" t="s">
        <v>115</v>
      </c>
      <c r="C1995" s="156"/>
      <c r="D1995" s="57">
        <v>400.0</v>
      </c>
      <c r="E1995" s="337">
        <f t="shared" si="327"/>
        <v>225</v>
      </c>
    </row>
    <row r="1996" ht="15.75" customHeight="1">
      <c r="A1996" s="62">
        <v>6071.0</v>
      </c>
      <c r="B1996" s="98" t="s">
        <v>36</v>
      </c>
      <c r="C1996" s="156"/>
      <c r="D1996" s="57">
        <f>25*450+70*25*3</f>
        <v>16500</v>
      </c>
      <c r="E1996" s="337">
        <f t="shared" si="327"/>
        <v>226</v>
      </c>
    </row>
    <row r="1997" ht="15.75" customHeight="1">
      <c r="A1997" s="62"/>
      <c r="B1997" s="106" t="s">
        <v>19</v>
      </c>
      <c r="C1997" s="31">
        <f t="shared" ref="C1997:D1997" si="328">SUM(C1989:C1996)</f>
        <v>63210</v>
      </c>
      <c r="D1997" s="32">
        <f t="shared" si="328"/>
        <v>59663.15789</v>
      </c>
      <c r="E1997" s="25"/>
    </row>
    <row r="1998" ht="15.75" customHeight="1">
      <c r="A1998" s="101"/>
      <c r="B1998" s="136" t="s">
        <v>20</v>
      </c>
      <c r="C1998" s="39"/>
      <c r="D1998" s="32">
        <f>C1997-D1997</f>
        <v>3546.842105</v>
      </c>
      <c r="E1998" s="40"/>
    </row>
    <row r="1999" ht="15.75" customHeight="1">
      <c r="A1999" s="97">
        <v>182362.0</v>
      </c>
      <c r="B1999" s="271" t="s">
        <v>390</v>
      </c>
      <c r="C1999" s="75"/>
      <c r="D1999" s="76"/>
      <c r="E1999" s="37"/>
    </row>
    <row r="2000" ht="15.75" customHeight="1">
      <c r="A2000" s="62">
        <v>3110.0</v>
      </c>
      <c r="B2000" s="98" t="s">
        <v>111</v>
      </c>
      <c r="C2000" s="156">
        <v>40000.0</v>
      </c>
      <c r="D2000" s="196"/>
      <c r="E2000" s="197">
        <f>E1996+1</f>
        <v>227</v>
      </c>
    </row>
    <row r="2001" ht="15.75" customHeight="1">
      <c r="A2001" s="62">
        <v>3011.0</v>
      </c>
      <c r="B2001" s="98" t="s">
        <v>22</v>
      </c>
      <c r="C2001" s="338">
        <f>265*450+30*500</f>
        <v>134250</v>
      </c>
      <c r="D2001" s="196"/>
      <c r="E2001" s="197">
        <f t="shared" ref="E2001:E2008" si="329">E2000+1</f>
        <v>228</v>
      </c>
    </row>
    <row r="2002" ht="15.75" customHeight="1">
      <c r="A2002" s="62">
        <v>3014.0</v>
      </c>
      <c r="B2002" s="98" t="s">
        <v>55</v>
      </c>
      <c r="C2002" s="156">
        <f>D2007+11*500</f>
        <v>18000</v>
      </c>
      <c r="D2002" s="196"/>
      <c r="E2002" s="197">
        <f t="shared" si="329"/>
        <v>229</v>
      </c>
    </row>
    <row r="2003" ht="15.75" customHeight="1">
      <c r="A2003" s="62">
        <v>4047.0</v>
      </c>
      <c r="B2003" s="98" t="s">
        <v>14</v>
      </c>
      <c r="C2003" s="156"/>
      <c r="D2003" s="157">
        <f>10000+500+5000</f>
        <v>15500</v>
      </c>
      <c r="E2003" s="197">
        <f t="shared" si="329"/>
        <v>230</v>
      </c>
    </row>
    <row r="2004" ht="15.75" customHeight="1">
      <c r="A2004" s="62">
        <v>5810.0</v>
      </c>
      <c r="B2004" s="98" t="s">
        <v>34</v>
      </c>
      <c r="C2004" s="156"/>
      <c r="D2004" s="157">
        <v>122877.0</v>
      </c>
      <c r="E2004" s="197">
        <f t="shared" si="329"/>
        <v>231</v>
      </c>
    </row>
    <row r="2005" ht="15.75" customHeight="1">
      <c r="A2005" s="62">
        <v>4076.0</v>
      </c>
      <c r="B2005" s="98" t="s">
        <v>29</v>
      </c>
      <c r="C2005" s="156"/>
      <c r="D2005" s="157">
        <v>148800.0</v>
      </c>
      <c r="E2005" s="339">
        <f t="shared" si="329"/>
        <v>232</v>
      </c>
    </row>
    <row r="2006" ht="15.75" customHeight="1">
      <c r="A2006" s="62">
        <v>5010.0</v>
      </c>
      <c r="B2006" s="98" t="s">
        <v>61</v>
      </c>
      <c r="C2006" s="156"/>
      <c r="D2006" s="157">
        <v>84800.0</v>
      </c>
      <c r="E2006" s="197">
        <f t="shared" si="329"/>
        <v>233</v>
      </c>
    </row>
    <row r="2007" ht="15.75" customHeight="1">
      <c r="A2007" s="62">
        <v>6071.0</v>
      </c>
      <c r="B2007" s="98" t="s">
        <v>36</v>
      </c>
      <c r="C2007" s="156"/>
      <c r="D2007" s="57">
        <f>25*500</f>
        <v>12500</v>
      </c>
      <c r="E2007" s="197">
        <f t="shared" si="329"/>
        <v>234</v>
      </c>
    </row>
    <row r="2008" ht="15.75" customHeight="1">
      <c r="A2008" s="62">
        <v>6993.0</v>
      </c>
      <c r="B2008" s="98" t="s">
        <v>115</v>
      </c>
      <c r="C2008" s="156"/>
      <c r="D2008" s="57">
        <f>250*12.5</f>
        <v>3125</v>
      </c>
      <c r="E2008" s="197">
        <f t="shared" si="329"/>
        <v>235</v>
      </c>
    </row>
    <row r="2009" ht="15.75" customHeight="1">
      <c r="A2009" s="62"/>
      <c r="B2009" s="106" t="s">
        <v>19</v>
      </c>
      <c r="C2009" s="175">
        <f t="shared" ref="C2009:D2009" si="330">SUM(C2000:C2008)</f>
        <v>192250</v>
      </c>
      <c r="D2009" s="32">
        <f t="shared" si="330"/>
        <v>387602</v>
      </c>
      <c r="E2009" s="25"/>
    </row>
    <row r="2010" ht="15.75" customHeight="1">
      <c r="A2010" s="101"/>
      <c r="B2010" s="136" t="s">
        <v>20</v>
      </c>
      <c r="C2010" s="170"/>
      <c r="D2010" s="32">
        <f>C2009-D2009</f>
        <v>-195352</v>
      </c>
      <c r="E2010" s="25"/>
    </row>
    <row r="2011" ht="15.75" customHeight="1">
      <c r="A2011" s="330"/>
      <c r="B2011" s="331" t="s">
        <v>391</v>
      </c>
      <c r="C2011" s="332">
        <f t="shared" ref="C2011:D2011" si="331">C2009+C1997+C1978+C1986</f>
        <v>514710</v>
      </c>
      <c r="D2011" s="92">
        <f t="shared" si="331"/>
        <v>535040.1579</v>
      </c>
      <c r="E2011" s="333"/>
    </row>
    <row r="2012" ht="15.75" customHeight="1">
      <c r="A2012" s="330"/>
      <c r="B2012" s="331" t="s">
        <v>392</v>
      </c>
      <c r="C2012" s="332"/>
      <c r="D2012" s="92">
        <f>C2011-D2011</f>
        <v>-20330.15789</v>
      </c>
      <c r="E2012" s="333"/>
    </row>
    <row r="2013" ht="15.75" customHeight="1">
      <c r="A2013" s="6"/>
      <c r="B2013" s="15" t="s">
        <v>393</v>
      </c>
      <c r="C2013" s="334"/>
      <c r="D2013" s="335"/>
      <c r="E2013" s="9"/>
    </row>
    <row r="2014" ht="15.75" customHeight="1">
      <c r="A2014" s="97">
        <v>182370.0</v>
      </c>
      <c r="B2014" s="271" t="s">
        <v>394</v>
      </c>
      <c r="C2014" s="75"/>
      <c r="D2014" s="76"/>
      <c r="E2014" s="177"/>
    </row>
    <row r="2015" ht="15.75" customHeight="1">
      <c r="A2015" s="62">
        <v>3011.0</v>
      </c>
      <c r="B2015" s="98" t="s">
        <v>22</v>
      </c>
      <c r="C2015" s="39">
        <f>52*165</f>
        <v>8580</v>
      </c>
      <c r="D2015" s="22"/>
      <c r="E2015" s="24">
        <f>E2008+1</f>
        <v>236</v>
      </c>
    </row>
    <row r="2016" ht="15.75" customHeight="1">
      <c r="A2016" s="62">
        <v>3110.0</v>
      </c>
      <c r="B2016" s="98" t="s">
        <v>111</v>
      </c>
      <c r="C2016" s="39">
        <v>10000.0</v>
      </c>
      <c r="D2016" s="22"/>
      <c r="E2016" s="24">
        <f t="shared" ref="E2016:E2025" si="332">E2015+1</f>
        <v>237</v>
      </c>
    </row>
    <row r="2017" ht="15.75" customHeight="1">
      <c r="A2017" s="62">
        <v>3120.0</v>
      </c>
      <c r="B2017" s="98" t="s">
        <v>8</v>
      </c>
      <c r="C2017" s="39">
        <f>125000*0.35</f>
        <v>43750</v>
      </c>
      <c r="D2017" s="22"/>
      <c r="E2017" s="24">
        <f t="shared" si="332"/>
        <v>238</v>
      </c>
    </row>
    <row r="2018" ht="15.75" customHeight="1">
      <c r="A2018" s="62">
        <v>3980.0</v>
      </c>
      <c r="B2018" s="98" t="s">
        <v>387</v>
      </c>
      <c r="C2018" s="39">
        <v>0.0</v>
      </c>
      <c r="D2018" s="22"/>
      <c r="E2018" s="24">
        <f t="shared" si="332"/>
        <v>239</v>
      </c>
    </row>
    <row r="2019" ht="15.75" customHeight="1">
      <c r="A2019" s="62">
        <v>4047.0</v>
      </c>
      <c r="B2019" s="98" t="s">
        <v>14</v>
      </c>
      <c r="C2019" s="39"/>
      <c r="D2019" s="22">
        <f>C2015</f>
        <v>8580</v>
      </c>
      <c r="E2019" s="24">
        <f t="shared" si="332"/>
        <v>240</v>
      </c>
    </row>
    <row r="2020" ht="15.75" customHeight="1">
      <c r="A2020" s="62">
        <v>4060.0</v>
      </c>
      <c r="B2020" s="98" t="s">
        <v>27</v>
      </c>
      <c r="C2020" s="39"/>
      <c r="D2020" s="22">
        <f>10*(3*200+550)+50*3*10</f>
        <v>13000</v>
      </c>
      <c r="E2020" s="24">
        <f t="shared" si="332"/>
        <v>241</v>
      </c>
    </row>
    <row r="2021" ht="15.75" customHeight="1">
      <c r="A2021" s="62">
        <v>4076.0</v>
      </c>
      <c r="B2021" s="98" t="s">
        <v>29</v>
      </c>
      <c r="C2021" s="39"/>
      <c r="D2021" s="22">
        <f>40*50</f>
        <v>2000</v>
      </c>
      <c r="E2021" s="24">
        <f t="shared" si="332"/>
        <v>242</v>
      </c>
    </row>
    <row r="2022" ht="15.75" customHeight="1">
      <c r="A2022" s="62">
        <v>4082.0</v>
      </c>
      <c r="B2022" s="98" t="s">
        <v>45</v>
      </c>
      <c r="C2022" s="39"/>
      <c r="D2022" s="22">
        <f>2*300+8*200</f>
        <v>2200</v>
      </c>
      <c r="E2022" s="24">
        <f t="shared" si="332"/>
        <v>243</v>
      </c>
    </row>
    <row r="2023" ht="15.75" customHeight="1">
      <c r="A2023" s="62">
        <v>4190.0</v>
      </c>
      <c r="B2023" s="98" t="s">
        <v>32</v>
      </c>
      <c r="C2023" s="39"/>
      <c r="D2023" s="22">
        <f>2*600+8*500+22*100</f>
        <v>7400</v>
      </c>
      <c r="E2023" s="24">
        <f t="shared" si="332"/>
        <v>244</v>
      </c>
    </row>
    <row r="2024" ht="15.75" customHeight="1">
      <c r="A2024" s="62">
        <v>5710.0</v>
      </c>
      <c r="B2024" s="98" t="s">
        <v>143</v>
      </c>
      <c r="C2024" s="39"/>
      <c r="D2024" s="22">
        <v>0.0</v>
      </c>
      <c r="E2024" s="24">
        <f t="shared" si="332"/>
        <v>245</v>
      </c>
    </row>
    <row r="2025" ht="15.75" customHeight="1">
      <c r="A2025" s="62">
        <v>6993.0</v>
      </c>
      <c r="B2025" s="98" t="s">
        <v>115</v>
      </c>
      <c r="C2025" s="39"/>
      <c r="D2025" s="22">
        <f>52*12.5</f>
        <v>650</v>
      </c>
      <c r="E2025" s="24">
        <f t="shared" si="332"/>
        <v>246</v>
      </c>
    </row>
    <row r="2026" ht="15.75" customHeight="1">
      <c r="A2026" s="99"/>
      <c r="B2026" s="106" t="s">
        <v>19</v>
      </c>
      <c r="C2026" s="31">
        <f t="shared" ref="C2026:D2026" si="333">SUM(C2015:C2025)</f>
        <v>62330</v>
      </c>
      <c r="D2026" s="32">
        <f t="shared" si="333"/>
        <v>33830</v>
      </c>
      <c r="E2026" s="25"/>
    </row>
    <row r="2027" ht="15.75" customHeight="1">
      <c r="A2027" s="101"/>
      <c r="B2027" s="136" t="s">
        <v>20</v>
      </c>
      <c r="C2027" s="39"/>
      <c r="D2027" s="32">
        <f>C2026-D2026</f>
        <v>28500</v>
      </c>
      <c r="E2027" s="40"/>
    </row>
    <row r="2028" ht="15.75" customHeight="1">
      <c r="A2028" s="97">
        <v>182371.0</v>
      </c>
      <c r="B2028" s="276" t="s">
        <v>395</v>
      </c>
      <c r="C2028" s="75"/>
      <c r="D2028" s="76"/>
      <c r="E2028" s="37"/>
    </row>
    <row r="2029" ht="15.75" customHeight="1">
      <c r="A2029" s="62">
        <v>3011.0</v>
      </c>
      <c r="B2029" s="98" t="s">
        <v>22</v>
      </c>
      <c r="C2029" s="39">
        <f>65000</f>
        <v>65000</v>
      </c>
      <c r="D2029" s="22"/>
      <c r="E2029" s="24">
        <f>E2025+1</f>
        <v>247</v>
      </c>
    </row>
    <row r="2030" ht="15.75" customHeight="1">
      <c r="A2030" s="62">
        <v>3030.0</v>
      </c>
      <c r="B2030" s="98" t="s">
        <v>117</v>
      </c>
      <c r="C2030" s="39">
        <f>7000*1.13</f>
        <v>7910</v>
      </c>
      <c r="D2030" s="22"/>
      <c r="E2030" s="24">
        <f t="shared" ref="E2030:E2032" si="334">E2029+1</f>
        <v>248</v>
      </c>
    </row>
    <row r="2031" ht="15.75" customHeight="1">
      <c r="A2031" s="62">
        <v>4010.0</v>
      </c>
      <c r="B2031" s="98" t="s">
        <v>48</v>
      </c>
      <c r="C2031" s="39"/>
      <c r="D2031" s="29">
        <v>45000.0</v>
      </c>
      <c r="E2031" s="24">
        <f t="shared" si="334"/>
        <v>249</v>
      </c>
    </row>
    <row r="2032" ht="15.75" customHeight="1">
      <c r="A2032" s="62">
        <v>4012.0</v>
      </c>
      <c r="B2032" s="98" t="s">
        <v>118</v>
      </c>
      <c r="C2032" s="39"/>
      <c r="D2032" s="22">
        <f>C2030/1.9</f>
        <v>4163.157895</v>
      </c>
      <c r="E2032" s="24">
        <f t="shared" si="334"/>
        <v>250</v>
      </c>
    </row>
    <row r="2033" ht="15.75" hidden="1" customHeight="1">
      <c r="A2033" s="108">
        <v>4047.0</v>
      </c>
      <c r="B2033" s="127" t="s">
        <v>14</v>
      </c>
      <c r="C2033" s="39"/>
      <c r="D2033" s="22"/>
      <c r="E2033" s="24"/>
    </row>
    <row r="2034" ht="15.75" customHeight="1">
      <c r="A2034" s="62">
        <v>6071.0</v>
      </c>
      <c r="B2034" s="98" t="s">
        <v>36</v>
      </c>
      <c r="C2034" s="39"/>
      <c r="D2034" s="22">
        <f>10*70</f>
        <v>700</v>
      </c>
      <c r="E2034" s="24">
        <f>E2032+1</f>
        <v>251</v>
      </c>
    </row>
    <row r="2035" ht="15.75" customHeight="1">
      <c r="A2035" s="62">
        <v>6993.0</v>
      </c>
      <c r="B2035" s="98" t="s">
        <v>115</v>
      </c>
      <c r="C2035" s="39"/>
      <c r="D2035" s="22">
        <v>6650.0</v>
      </c>
      <c r="E2035" s="24">
        <f>E2034+1</f>
        <v>252</v>
      </c>
    </row>
    <row r="2036" ht="15.75" customHeight="1">
      <c r="A2036" s="99"/>
      <c r="B2036" s="106" t="s">
        <v>19</v>
      </c>
      <c r="C2036" s="31">
        <f t="shared" ref="C2036:D2036" si="335">SUM(C2029:C2035)</f>
        <v>72910</v>
      </c>
      <c r="D2036" s="32">
        <f t="shared" si="335"/>
        <v>56513.15789</v>
      </c>
      <c r="E2036" s="25"/>
    </row>
    <row r="2037" ht="15.75" customHeight="1">
      <c r="A2037" s="101"/>
      <c r="B2037" s="136" t="s">
        <v>20</v>
      </c>
      <c r="C2037" s="53"/>
      <c r="D2037" s="32">
        <f>C2036-D2036</f>
        <v>16396.84211</v>
      </c>
      <c r="E2037" s="40"/>
    </row>
    <row r="2038" ht="15.75" customHeight="1">
      <c r="A2038" s="97">
        <v>182372.0</v>
      </c>
      <c r="B2038" s="271" t="s">
        <v>396</v>
      </c>
      <c r="C2038" s="75"/>
      <c r="D2038" s="76"/>
      <c r="E2038" s="37"/>
    </row>
    <row r="2039" ht="15.75" customHeight="1">
      <c r="A2039" s="62">
        <v>3011.0</v>
      </c>
      <c r="B2039" s="98" t="s">
        <v>22</v>
      </c>
      <c r="C2039" s="39">
        <f>258*250</f>
        <v>64500</v>
      </c>
      <c r="D2039" s="22"/>
      <c r="E2039" s="24">
        <f>E2035+1</f>
        <v>253</v>
      </c>
    </row>
    <row r="2040" ht="15.75" customHeight="1">
      <c r="A2040" s="101">
        <v>3014.0</v>
      </c>
      <c r="B2040" s="102" t="s">
        <v>55</v>
      </c>
      <c r="C2040" s="39">
        <f>12*250</f>
        <v>3000</v>
      </c>
      <c r="D2040" s="22"/>
      <c r="E2040" s="24">
        <f t="shared" ref="E2040:E2044" si="336">E2039+1</f>
        <v>254</v>
      </c>
    </row>
    <row r="2041" ht="15.75" customHeight="1">
      <c r="A2041" s="101">
        <v>4013.0</v>
      </c>
      <c r="B2041" s="102" t="s">
        <v>98</v>
      </c>
      <c r="C2041" s="39"/>
      <c r="D2041" s="22">
        <f>100*30</f>
        <v>3000</v>
      </c>
      <c r="E2041" s="24">
        <f t="shared" si="336"/>
        <v>255</v>
      </c>
    </row>
    <row r="2042" ht="15.75" customHeight="1">
      <c r="A2042" s="62">
        <v>4076.0</v>
      </c>
      <c r="B2042" s="98" t="s">
        <v>29</v>
      </c>
      <c r="C2042" s="39"/>
      <c r="D2042" s="22">
        <f>350*270</f>
        <v>94500</v>
      </c>
      <c r="E2042" s="24">
        <f t="shared" si="336"/>
        <v>256</v>
      </c>
    </row>
    <row r="2043" ht="15.75" customHeight="1">
      <c r="A2043" s="62">
        <v>4078.0</v>
      </c>
      <c r="B2043" s="98" t="s">
        <v>30</v>
      </c>
      <c r="C2043" s="39"/>
      <c r="D2043" s="22">
        <v>4000.0</v>
      </c>
      <c r="E2043" s="24">
        <f t="shared" si="336"/>
        <v>257</v>
      </c>
    </row>
    <row r="2044" ht="15.75" hidden="1" customHeight="1">
      <c r="A2044" s="19">
        <v>5060.0</v>
      </c>
      <c r="B2044" s="214" t="s">
        <v>113</v>
      </c>
      <c r="C2044" s="170"/>
      <c r="D2044" s="22">
        <v>0.0</v>
      </c>
      <c r="E2044" s="24">
        <f t="shared" si="336"/>
        <v>258</v>
      </c>
    </row>
    <row r="2045" ht="15.75" hidden="1" customHeight="1">
      <c r="A2045" s="62">
        <v>5461.0</v>
      </c>
      <c r="B2045" s="98" t="s">
        <v>84</v>
      </c>
      <c r="C2045" s="39"/>
      <c r="D2045" s="22">
        <v>0.0</v>
      </c>
      <c r="E2045" s="24">
        <f>E2043+1</f>
        <v>258</v>
      </c>
    </row>
    <row r="2046" ht="15.75" customHeight="1">
      <c r="A2046" s="62">
        <v>6071.0</v>
      </c>
      <c r="B2046" s="98" t="s">
        <v>36</v>
      </c>
      <c r="C2046" s="39"/>
      <c r="D2046" s="22">
        <f>12*250</f>
        <v>3000</v>
      </c>
      <c r="E2046" s="24">
        <f t="shared" ref="E2046:E2047" si="337">E2045+1</f>
        <v>259</v>
      </c>
    </row>
    <row r="2047" ht="15.75" customHeight="1">
      <c r="A2047" s="62">
        <v>6993.0</v>
      </c>
      <c r="B2047" s="98" t="s">
        <v>115</v>
      </c>
      <c r="C2047" s="39"/>
      <c r="D2047" s="22">
        <f>270*12.5</f>
        <v>3375</v>
      </c>
      <c r="E2047" s="24">
        <f t="shared" si="337"/>
        <v>260</v>
      </c>
    </row>
    <row r="2048" ht="15.75" customHeight="1">
      <c r="A2048" s="101"/>
      <c r="B2048" s="106" t="s">
        <v>19</v>
      </c>
      <c r="C2048" s="175">
        <f t="shared" ref="C2048:D2048" si="338">SUM(C2039:C2047)</f>
        <v>67500</v>
      </c>
      <c r="D2048" s="32">
        <f t="shared" si="338"/>
        <v>107875</v>
      </c>
      <c r="E2048" s="25"/>
    </row>
    <row r="2049" ht="15.75" customHeight="1">
      <c r="A2049" s="101"/>
      <c r="B2049" s="136" t="s">
        <v>20</v>
      </c>
      <c r="C2049" s="170"/>
      <c r="D2049" s="32">
        <f>C2048-D2048</f>
        <v>-40375</v>
      </c>
      <c r="E2049" s="72"/>
    </row>
    <row r="2050" ht="15.75" customHeight="1">
      <c r="A2050" s="97">
        <v>182373.0</v>
      </c>
      <c r="B2050" s="271" t="s">
        <v>397</v>
      </c>
      <c r="C2050" s="75"/>
      <c r="D2050" s="76"/>
      <c r="E2050" s="76"/>
    </row>
    <row r="2051" ht="15.75" customHeight="1">
      <c r="A2051" s="62">
        <v>3011.0</v>
      </c>
      <c r="B2051" s="98" t="s">
        <v>22</v>
      </c>
      <c r="C2051" s="39">
        <f>255*355+33*95</f>
        <v>93660</v>
      </c>
      <c r="D2051" s="22"/>
      <c r="E2051" s="24">
        <f>E2047+1</f>
        <v>261</v>
      </c>
    </row>
    <row r="2052" ht="15.75" customHeight="1">
      <c r="A2052" s="101">
        <v>3014.0</v>
      </c>
      <c r="B2052" s="102" t="s">
        <v>55</v>
      </c>
      <c r="C2052" s="39">
        <f>10*355</f>
        <v>3550</v>
      </c>
      <c r="D2052" s="22"/>
      <c r="E2052" s="24">
        <f t="shared" ref="E2052:E2058" si="339">E2051+1</f>
        <v>262</v>
      </c>
    </row>
    <row r="2053" ht="15.75" customHeight="1">
      <c r="A2053" s="62">
        <v>3030.0</v>
      </c>
      <c r="B2053" s="98" t="s">
        <v>117</v>
      </c>
      <c r="C2053" s="39">
        <v>0.0</v>
      </c>
      <c r="D2053" s="22"/>
      <c r="E2053" s="24">
        <f t="shared" si="339"/>
        <v>263</v>
      </c>
    </row>
    <row r="2054" ht="15.75" customHeight="1">
      <c r="A2054" s="62">
        <v>4012.0</v>
      </c>
      <c r="B2054" s="98" t="s">
        <v>118</v>
      </c>
      <c r="C2054" s="39"/>
      <c r="D2054" s="22">
        <v>0.0</v>
      </c>
      <c r="E2054" s="24">
        <f t="shared" si="339"/>
        <v>264</v>
      </c>
    </row>
    <row r="2055" ht="15.75" customHeight="1">
      <c r="A2055" s="62">
        <v>4047.0</v>
      </c>
      <c r="B2055" s="98" t="s">
        <v>14</v>
      </c>
      <c r="C2055" s="39"/>
      <c r="D2055" s="340">
        <v>127500.0</v>
      </c>
      <c r="E2055" s="24">
        <f t="shared" si="339"/>
        <v>265</v>
      </c>
    </row>
    <row r="2056" ht="15.75" customHeight="1">
      <c r="A2056" s="62">
        <v>5710.0</v>
      </c>
      <c r="B2056" s="98" t="s">
        <v>143</v>
      </c>
      <c r="C2056" s="39"/>
      <c r="D2056" s="22">
        <v>41000.0</v>
      </c>
      <c r="E2056" s="24">
        <f t="shared" si="339"/>
        <v>266</v>
      </c>
    </row>
    <row r="2057" ht="15.75" customHeight="1">
      <c r="A2057" s="62">
        <v>6071.0</v>
      </c>
      <c r="B2057" s="98" t="s">
        <v>36</v>
      </c>
      <c r="C2057" s="39"/>
      <c r="D2057" s="22">
        <f>10*355</f>
        <v>3550</v>
      </c>
      <c r="E2057" s="24">
        <f t="shared" si="339"/>
        <v>267</v>
      </c>
    </row>
    <row r="2058" ht="15.75" customHeight="1">
      <c r="A2058" s="62">
        <v>6993.0</v>
      </c>
      <c r="B2058" s="98" t="s">
        <v>115</v>
      </c>
      <c r="C2058" s="39"/>
      <c r="D2058" s="22">
        <v>3544.0</v>
      </c>
      <c r="E2058" s="24">
        <f t="shared" si="339"/>
        <v>268</v>
      </c>
    </row>
    <row r="2059" ht="15.75" customHeight="1">
      <c r="A2059" s="101"/>
      <c r="B2059" s="106" t="s">
        <v>19</v>
      </c>
      <c r="C2059" s="31">
        <f t="shared" ref="C2059:D2059" si="340">SUM(C2051:C2058)</f>
        <v>97210</v>
      </c>
      <c r="D2059" s="32">
        <f t="shared" si="340"/>
        <v>175594</v>
      </c>
      <c r="E2059" s="25"/>
    </row>
    <row r="2060" ht="15.75" customHeight="1">
      <c r="A2060" s="101"/>
      <c r="B2060" s="136" t="s">
        <v>20</v>
      </c>
      <c r="C2060" s="39"/>
      <c r="D2060" s="32">
        <f>C2059-D2059</f>
        <v>-78384</v>
      </c>
      <c r="E2060" s="40"/>
    </row>
    <row r="2061" ht="15.75" customHeight="1">
      <c r="A2061" s="124"/>
      <c r="B2061" s="271" t="s">
        <v>398</v>
      </c>
      <c r="C2061" s="341">
        <f t="shared" ref="C2061:D2061" si="341">C2059+C2048+C2036+C2026</f>
        <v>299950</v>
      </c>
      <c r="D2061" s="342">
        <f t="shared" si="341"/>
        <v>373812.1579</v>
      </c>
      <c r="E2061" s="37"/>
    </row>
    <row r="2062" ht="15.75" customHeight="1">
      <c r="A2062" s="124"/>
      <c r="B2062" s="271" t="s">
        <v>399</v>
      </c>
      <c r="C2062" s="341"/>
      <c r="D2062" s="342">
        <f>C2061-D2061</f>
        <v>-73862.15789</v>
      </c>
      <c r="E2062" s="37"/>
    </row>
    <row r="2063" ht="15.75" customHeight="1">
      <c r="A2063" s="6"/>
      <c r="B2063" s="15" t="s">
        <v>400</v>
      </c>
      <c r="C2063" s="334"/>
      <c r="D2063" s="335"/>
      <c r="E2063" s="9"/>
    </row>
    <row r="2064" ht="15.75" customHeight="1">
      <c r="A2064" s="97">
        <v>182380.0</v>
      </c>
      <c r="B2064" s="271" t="s">
        <v>401</v>
      </c>
      <c r="C2064" s="75"/>
      <c r="D2064" s="76"/>
      <c r="E2064" s="177"/>
    </row>
    <row r="2065" ht="15.75" customHeight="1">
      <c r="A2065" s="108">
        <v>3064.0</v>
      </c>
      <c r="B2065" s="127" t="s">
        <v>229</v>
      </c>
      <c r="C2065" s="68">
        <v>20000.0</v>
      </c>
      <c r="D2065" s="22"/>
      <c r="E2065" s="25">
        <f>E2058+1</f>
        <v>269</v>
      </c>
    </row>
    <row r="2066" ht="15.75" customHeight="1">
      <c r="A2066" s="62">
        <v>4063.0</v>
      </c>
      <c r="B2066" s="98" t="s">
        <v>70</v>
      </c>
      <c r="C2066" s="39"/>
      <c r="D2066" s="29">
        <v>47000.0</v>
      </c>
      <c r="E2066" s="25">
        <f t="shared" ref="E2066:E2067" si="342">E2065+1</f>
        <v>270</v>
      </c>
    </row>
    <row r="2067" ht="15.75" customHeight="1">
      <c r="A2067" s="62">
        <v>6250.0</v>
      </c>
      <c r="B2067" s="100" t="s">
        <v>74</v>
      </c>
      <c r="C2067" s="39"/>
      <c r="D2067" s="29">
        <v>0.0</v>
      </c>
      <c r="E2067" s="25">
        <f t="shared" si="342"/>
        <v>271</v>
      </c>
    </row>
    <row r="2068" ht="15.75" customHeight="1">
      <c r="A2068" s="62"/>
      <c r="B2068" s="106" t="s">
        <v>19</v>
      </c>
      <c r="C2068" s="31">
        <f t="shared" ref="C2068:D2068" si="343">SUM(C2065:C2067)</f>
        <v>20000</v>
      </c>
      <c r="D2068" s="32">
        <f t="shared" si="343"/>
        <v>47000</v>
      </c>
      <c r="E2068" s="25"/>
    </row>
    <row r="2069" ht="15.75" customHeight="1">
      <c r="A2069" s="101"/>
      <c r="B2069" s="136" t="s">
        <v>20</v>
      </c>
      <c r="C2069" s="39"/>
      <c r="D2069" s="32">
        <f>C2068-D2068</f>
        <v>-27000</v>
      </c>
      <c r="E2069" s="40"/>
    </row>
    <row r="2070" ht="15.75" hidden="1" customHeight="1">
      <c r="A2070" s="6"/>
      <c r="B2070" s="15" t="s">
        <v>402</v>
      </c>
      <c r="C2070" s="334"/>
      <c r="D2070" s="335"/>
      <c r="E2070" s="9"/>
    </row>
    <row r="2071" ht="15.75" hidden="1" customHeight="1">
      <c r="A2071" s="97">
        <v>182190.0</v>
      </c>
      <c r="B2071" s="271" t="s">
        <v>403</v>
      </c>
      <c r="C2071" s="75"/>
      <c r="D2071" s="76"/>
      <c r="E2071" s="37"/>
    </row>
    <row r="2072" ht="15.75" hidden="1" customHeight="1">
      <c r="A2072" s="124">
        <v>3023.0</v>
      </c>
      <c r="B2072" s="271" t="s">
        <v>76</v>
      </c>
      <c r="C2072" s="321"/>
      <c r="D2072" s="322"/>
      <c r="E2072" s="37">
        <f t="shared" ref="E2072:E2082" si="344">E2071+1</f>
        <v>1</v>
      </c>
    </row>
    <row r="2073" ht="15.75" hidden="1" customHeight="1">
      <c r="A2073" s="124">
        <v>3010.0</v>
      </c>
      <c r="B2073" s="271" t="s">
        <v>2</v>
      </c>
      <c r="C2073" s="321"/>
      <c r="D2073" s="322"/>
      <c r="E2073" s="37">
        <f t="shared" si="344"/>
        <v>2</v>
      </c>
    </row>
    <row r="2074" ht="15.75" hidden="1" customHeight="1">
      <c r="A2074" s="124">
        <v>3010.0</v>
      </c>
      <c r="B2074" s="271" t="s">
        <v>2</v>
      </c>
      <c r="C2074" s="321"/>
      <c r="D2074" s="322"/>
      <c r="E2074" s="37">
        <f t="shared" si="344"/>
        <v>3</v>
      </c>
    </row>
    <row r="2075" ht="15.75" hidden="1" customHeight="1">
      <c r="A2075" s="124">
        <v>3030.0</v>
      </c>
      <c r="B2075" s="271" t="s">
        <v>117</v>
      </c>
      <c r="C2075" s="321"/>
      <c r="D2075" s="322"/>
      <c r="E2075" s="37">
        <f t="shared" si="344"/>
        <v>4</v>
      </c>
    </row>
    <row r="2076" ht="15.75" hidden="1" customHeight="1">
      <c r="A2076" s="124">
        <v>4010.0</v>
      </c>
      <c r="B2076" s="271" t="s">
        <v>48</v>
      </c>
      <c r="C2076" s="321"/>
      <c r="D2076" s="322"/>
      <c r="E2076" s="37">
        <f t="shared" si="344"/>
        <v>5</v>
      </c>
    </row>
    <row r="2077" ht="15.75" hidden="1" customHeight="1">
      <c r="A2077" s="124">
        <v>4012.0</v>
      </c>
      <c r="B2077" s="271" t="s">
        <v>118</v>
      </c>
      <c r="C2077" s="321"/>
      <c r="D2077" s="322"/>
      <c r="E2077" s="37">
        <f t="shared" si="344"/>
        <v>6</v>
      </c>
    </row>
    <row r="2078" ht="15.75" hidden="1" customHeight="1">
      <c r="A2078" s="124">
        <v>4013.0</v>
      </c>
      <c r="B2078" s="271" t="s">
        <v>98</v>
      </c>
      <c r="C2078" s="321"/>
      <c r="D2078" s="322"/>
      <c r="E2078" s="37">
        <f t="shared" si="344"/>
        <v>7</v>
      </c>
    </row>
    <row r="2079" ht="15.75" hidden="1" customHeight="1">
      <c r="A2079" s="124">
        <v>4040.0</v>
      </c>
      <c r="B2079" s="271" t="s">
        <v>24</v>
      </c>
      <c r="C2079" s="321"/>
      <c r="D2079" s="322"/>
      <c r="E2079" s="37">
        <f t="shared" si="344"/>
        <v>8</v>
      </c>
    </row>
    <row r="2080" ht="15.75" hidden="1" customHeight="1">
      <c r="A2080" s="124">
        <v>4076.0</v>
      </c>
      <c r="B2080" s="271" t="s">
        <v>29</v>
      </c>
      <c r="C2080" s="321"/>
      <c r="D2080" s="322"/>
      <c r="E2080" s="37">
        <f t="shared" si="344"/>
        <v>9</v>
      </c>
    </row>
    <row r="2081" ht="15.75" hidden="1" customHeight="1">
      <c r="A2081" s="124">
        <v>4190.0</v>
      </c>
      <c r="B2081" s="271" t="s">
        <v>32</v>
      </c>
      <c r="C2081" s="321"/>
      <c r="D2081" s="322"/>
      <c r="E2081" s="37">
        <f t="shared" si="344"/>
        <v>10</v>
      </c>
    </row>
    <row r="2082" ht="15.75" hidden="1" customHeight="1">
      <c r="A2082" s="124">
        <v>5830.0</v>
      </c>
      <c r="B2082" s="271" t="s">
        <v>177</v>
      </c>
      <c r="C2082" s="321"/>
      <c r="D2082" s="322"/>
      <c r="E2082" s="37">
        <f t="shared" si="344"/>
        <v>11</v>
      </c>
    </row>
    <row r="2083" ht="15.75" hidden="1" customHeight="1">
      <c r="A2083" s="124"/>
      <c r="B2083" s="271" t="s">
        <v>19</v>
      </c>
      <c r="C2083" s="321">
        <f t="shared" ref="C2083:D2083" si="345">SUM(C2072:C2082)</f>
        <v>0</v>
      </c>
      <c r="D2083" s="322">
        <f t="shared" si="345"/>
        <v>0</v>
      </c>
      <c r="E2083" s="37"/>
    </row>
    <row r="2084" ht="15.75" hidden="1" customHeight="1">
      <c r="A2084" s="124"/>
      <c r="B2084" s="271" t="s">
        <v>20</v>
      </c>
      <c r="C2084" s="321"/>
      <c r="D2084" s="322">
        <f>C2083-D2083</f>
        <v>0</v>
      </c>
      <c r="E2084" s="37"/>
    </row>
    <row r="2085" ht="15.75" hidden="1" customHeight="1">
      <c r="A2085" s="97">
        <v>182191.0</v>
      </c>
      <c r="B2085" s="271" t="s">
        <v>404</v>
      </c>
      <c r="C2085" s="75"/>
      <c r="D2085" s="76"/>
      <c r="E2085" s="37"/>
    </row>
    <row r="2086" ht="15.75" hidden="1" customHeight="1">
      <c r="A2086" s="99">
        <v>3011.0</v>
      </c>
      <c r="B2086" s="100" t="s">
        <v>22</v>
      </c>
      <c r="C2086" s="31"/>
      <c r="D2086" s="22">
        <v>0.0</v>
      </c>
      <c r="E2086" s="25">
        <f>E2067</f>
        <v>271</v>
      </c>
    </row>
    <row r="2087" ht="15.75" hidden="1" customHeight="1">
      <c r="A2087" s="99">
        <v>4013.0</v>
      </c>
      <c r="B2087" s="100" t="s">
        <v>98</v>
      </c>
      <c r="C2087" s="31"/>
      <c r="D2087" s="22">
        <v>0.0</v>
      </c>
      <c r="E2087" s="25">
        <f t="shared" ref="E2087:E2091" si="346">E2086+1</f>
        <v>272</v>
      </c>
    </row>
    <row r="2088" ht="15.75" hidden="1" customHeight="1">
      <c r="A2088" s="99">
        <v>4047.0</v>
      </c>
      <c r="B2088" s="100" t="s">
        <v>14</v>
      </c>
      <c r="C2088" s="31"/>
      <c r="D2088" s="22">
        <v>0.0</v>
      </c>
      <c r="E2088" s="25">
        <f t="shared" si="346"/>
        <v>273</v>
      </c>
    </row>
    <row r="2089" ht="15.75" hidden="1" customHeight="1">
      <c r="A2089" s="99">
        <v>4076.0</v>
      </c>
      <c r="B2089" s="100" t="s">
        <v>29</v>
      </c>
      <c r="C2089" s="31"/>
      <c r="D2089" s="22">
        <v>0.0</v>
      </c>
      <c r="E2089" s="25">
        <f t="shared" si="346"/>
        <v>274</v>
      </c>
    </row>
    <row r="2090" ht="15.75" hidden="1" customHeight="1">
      <c r="A2090" s="62">
        <v>4190.0</v>
      </c>
      <c r="B2090" s="98" t="s">
        <v>32</v>
      </c>
      <c r="C2090" s="31"/>
      <c r="D2090" s="22">
        <v>0.0</v>
      </c>
      <c r="E2090" s="25">
        <f t="shared" si="346"/>
        <v>275</v>
      </c>
    </row>
    <row r="2091" ht="15.75" hidden="1" customHeight="1">
      <c r="A2091" s="99">
        <v>6070.0</v>
      </c>
      <c r="B2091" s="100" t="s">
        <v>35</v>
      </c>
      <c r="C2091" s="31"/>
      <c r="D2091" s="22">
        <v>0.0</v>
      </c>
      <c r="E2091" s="25">
        <f t="shared" si="346"/>
        <v>276</v>
      </c>
    </row>
    <row r="2092" ht="15.75" hidden="1" customHeight="1">
      <c r="A2092" s="62"/>
      <c r="B2092" s="135" t="s">
        <v>19</v>
      </c>
      <c r="C2092" s="31">
        <f t="shared" ref="C2092:D2092" si="347">SUM(C2086:C2091)</f>
        <v>0</v>
      </c>
      <c r="D2092" s="32">
        <f t="shared" si="347"/>
        <v>0</v>
      </c>
      <c r="E2092" s="25"/>
    </row>
    <row r="2093" ht="15.75" hidden="1" customHeight="1">
      <c r="A2093" s="62"/>
      <c r="B2093" s="136" t="s">
        <v>20</v>
      </c>
      <c r="C2093" s="31"/>
      <c r="D2093" s="32">
        <f>C2092-D2092</f>
        <v>0</v>
      </c>
      <c r="E2093" s="25"/>
    </row>
    <row r="2094" ht="15.75" customHeight="1">
      <c r="A2094" s="10"/>
      <c r="B2094" s="126" t="s">
        <v>405</v>
      </c>
      <c r="C2094" s="12">
        <f>C2068+C2083+C2092+C2059+C2048+C2036+C2026+C2009+C1997+C1986+C1978+C1961+C1955+C1949+C1943+C1937+C1922+C1865+C1854+C1844+C1832+C1768+C1754+C1738+C1721+C1708+C1687+C1679+C1660+C1628+C1623+C1603+C1584+C1575+C1646+C1592+C1637+C1889+C1899+C1909+C1610+C1817+C1808+C1792+C1780+C1698+C1874</f>
        <v>1634988</v>
      </c>
      <c r="D2094" s="13">
        <f>D2068+D2083+D2092+D2059+D2048+D2036+D2026+D2009+D1997+D1986+D1978+D1961+D1955+D1949+D1943+D1937+D1922+D1865+D1854+D1844+D1832+D1768+D1754+D1738+D1721+D1708+D1687+D1679+D1660+D1628+D1623+D1603+D1584+D1575+D1646+D1592+D1637+D1909+D1899+D1889+D1610+D1817+D1808+D1792+D1780+D1698+D1874</f>
        <v>1862731.263</v>
      </c>
      <c r="E2094" s="37"/>
    </row>
    <row r="2095" ht="15.75" customHeight="1">
      <c r="A2095" s="10"/>
      <c r="B2095" s="58" t="s">
        <v>406</v>
      </c>
      <c r="C2095" s="35"/>
      <c r="D2095" s="13">
        <f>C2094-D2094</f>
        <v>-227743.2632</v>
      </c>
      <c r="E2095" s="37"/>
    </row>
    <row r="2096" ht="15.75" customHeight="1">
      <c r="A2096" s="62"/>
      <c r="B2096" s="106"/>
      <c r="C2096" s="64"/>
      <c r="D2096" s="65"/>
      <c r="E2096" s="25"/>
    </row>
    <row r="2097" ht="15.75" customHeight="1">
      <c r="A2097" s="62"/>
      <c r="B2097" s="106"/>
      <c r="C2097" s="64"/>
      <c r="D2097" s="65"/>
      <c r="E2097" s="25"/>
    </row>
    <row r="2098" ht="15.75" customHeight="1">
      <c r="A2098" s="343"/>
      <c r="B2098" s="15" t="s">
        <v>407</v>
      </c>
      <c r="C2098" s="16" t="s">
        <v>6</v>
      </c>
      <c r="D2098" s="5"/>
      <c r="E2098" s="9"/>
    </row>
    <row r="2099" ht="15.75" customHeight="1">
      <c r="A2099" s="97">
        <v>192300.0</v>
      </c>
      <c r="B2099" s="126" t="s">
        <v>141</v>
      </c>
      <c r="C2099" s="12" t="s">
        <v>2</v>
      </c>
      <c r="D2099" s="13" t="s">
        <v>3</v>
      </c>
      <c r="E2099" s="14" t="s">
        <v>4</v>
      </c>
    </row>
    <row r="2100" ht="15.75" customHeight="1">
      <c r="A2100" s="108">
        <v>3110.0</v>
      </c>
      <c r="B2100" s="127" t="s">
        <v>111</v>
      </c>
      <c r="C2100" s="39">
        <f>80000*0.8</f>
        <v>64000</v>
      </c>
      <c r="D2100" s="22"/>
      <c r="E2100" s="25">
        <v>1.0</v>
      </c>
    </row>
    <row r="2101" ht="15.75" customHeight="1">
      <c r="A2101" s="62">
        <v>4010.0</v>
      </c>
      <c r="B2101" s="100" t="s">
        <v>48</v>
      </c>
      <c r="C2101" s="39"/>
      <c r="D2101" s="22">
        <f>5500*9+10000*2+7000</f>
        <v>76500</v>
      </c>
      <c r="E2101" s="25">
        <f t="shared" ref="E2101:E2113" si="348">E2100+1</f>
        <v>2</v>
      </c>
    </row>
    <row r="2102" ht="15.75" customHeight="1">
      <c r="A2102" s="62">
        <v>4042.0</v>
      </c>
      <c r="B2102" s="103" t="s">
        <v>67</v>
      </c>
      <c r="C2102" s="39"/>
      <c r="D2102" s="22">
        <v>1000.0</v>
      </c>
      <c r="E2102" s="25">
        <f t="shared" si="348"/>
        <v>3</v>
      </c>
    </row>
    <row r="2103" ht="15.75" customHeight="1">
      <c r="A2103" s="62">
        <v>4047.0</v>
      </c>
      <c r="B2103" s="98" t="s">
        <v>14</v>
      </c>
      <c r="C2103" s="39"/>
      <c r="D2103" s="29">
        <v>10000.0</v>
      </c>
      <c r="E2103" s="25">
        <f t="shared" si="348"/>
        <v>4</v>
      </c>
    </row>
    <row r="2104" ht="15.75" customHeight="1">
      <c r="A2104" s="99">
        <v>4050.0</v>
      </c>
      <c r="B2104" s="100" t="s">
        <v>42</v>
      </c>
      <c r="C2104" s="39"/>
      <c r="D2104" s="22">
        <f>sumif($A$2099:$A$2495,"=4190",D2099:D2495)*0.3</f>
        <v>4620</v>
      </c>
      <c r="E2104" s="25">
        <f t="shared" si="348"/>
        <v>5</v>
      </c>
    </row>
    <row r="2105" ht="15.75" customHeight="1">
      <c r="A2105" s="62">
        <v>4060.0</v>
      </c>
      <c r="B2105" s="98" t="s">
        <v>27</v>
      </c>
      <c r="C2105" s="39"/>
      <c r="D2105" s="22">
        <f>(200+200+550)*32+6000+11500+50*3*32</f>
        <v>52700</v>
      </c>
      <c r="E2105" s="25">
        <f t="shared" si="348"/>
        <v>6</v>
      </c>
    </row>
    <row r="2106" ht="15.75" customHeight="1">
      <c r="A2106" s="62">
        <v>4063.0</v>
      </c>
      <c r="B2106" s="98" t="s">
        <v>70</v>
      </c>
      <c r="C2106" s="39"/>
      <c r="D2106" s="22">
        <v>800.0</v>
      </c>
      <c r="E2106" s="25">
        <f t="shared" si="348"/>
        <v>7</v>
      </c>
    </row>
    <row r="2107" ht="15.75" customHeight="1">
      <c r="A2107" s="62">
        <v>4065.0</v>
      </c>
      <c r="B2107" s="98" t="s">
        <v>16</v>
      </c>
      <c r="C2107" s="39"/>
      <c r="D2107" s="22">
        <f>350*25+1000+600+10000</f>
        <v>20350</v>
      </c>
      <c r="E2107" s="25">
        <f t="shared" si="348"/>
        <v>8</v>
      </c>
    </row>
    <row r="2108" ht="15.75" customHeight="1">
      <c r="A2108" s="62">
        <v>4076.0</v>
      </c>
      <c r="B2108" s="98" t="s">
        <v>29</v>
      </c>
      <c r="C2108" s="39"/>
      <c r="D2108" s="29">
        <v>0.0</v>
      </c>
      <c r="E2108" s="25">
        <f t="shared" si="348"/>
        <v>9</v>
      </c>
    </row>
    <row r="2109" ht="15.75" customHeight="1">
      <c r="A2109" s="62">
        <v>4069.0</v>
      </c>
      <c r="B2109" s="98" t="s">
        <v>181</v>
      </c>
      <c r="C2109" s="39"/>
      <c r="D2109" s="29">
        <v>1000.0</v>
      </c>
      <c r="E2109" s="25">
        <f t="shared" si="348"/>
        <v>10</v>
      </c>
    </row>
    <row r="2110" ht="15.75" customHeight="1">
      <c r="A2110" s="62">
        <v>4077.0</v>
      </c>
      <c r="B2110" s="98" t="s">
        <v>328</v>
      </c>
      <c r="C2110" s="39"/>
      <c r="D2110" s="22">
        <v>15000.0</v>
      </c>
      <c r="E2110" s="25">
        <f t="shared" si="348"/>
        <v>11</v>
      </c>
    </row>
    <row r="2111" ht="15.75" customHeight="1">
      <c r="A2111" s="62">
        <v>4078.0</v>
      </c>
      <c r="B2111" s="98" t="s">
        <v>30</v>
      </c>
      <c r="C2111" s="39"/>
      <c r="D2111" s="22">
        <v>0.0</v>
      </c>
      <c r="E2111" s="25">
        <f t="shared" si="348"/>
        <v>12</v>
      </c>
    </row>
    <row r="2112" ht="15.75" customHeight="1">
      <c r="A2112" s="62">
        <v>4080.0</v>
      </c>
      <c r="B2112" s="98" t="s">
        <v>31</v>
      </c>
      <c r="C2112" s="39"/>
      <c r="D2112" s="22">
        <v>4000.0</v>
      </c>
      <c r="E2112" s="25">
        <f t="shared" si="348"/>
        <v>13</v>
      </c>
    </row>
    <row r="2113" ht="15.75" customHeight="1">
      <c r="A2113" s="62">
        <v>4081.0</v>
      </c>
      <c r="B2113" s="103" t="s">
        <v>44</v>
      </c>
      <c r="C2113" s="39"/>
      <c r="D2113" s="22">
        <v>1000.0</v>
      </c>
      <c r="E2113" s="25">
        <f t="shared" si="348"/>
        <v>14</v>
      </c>
    </row>
    <row r="2114" ht="15.75" customHeight="1">
      <c r="A2114" s="62">
        <v>4082.0</v>
      </c>
      <c r="B2114" s="98" t="s">
        <v>45</v>
      </c>
      <c r="C2114" s="39"/>
      <c r="D2114" s="22">
        <f>22*200+8*200+300+400</f>
        <v>6700</v>
      </c>
      <c r="E2114" s="25">
        <f>E2112+1</f>
        <v>14</v>
      </c>
    </row>
    <row r="2115" ht="15.75" customHeight="1">
      <c r="A2115" s="62">
        <v>4190.0</v>
      </c>
      <c r="B2115" s="98" t="s">
        <v>32</v>
      </c>
      <c r="C2115" s="39"/>
      <c r="D2115" s="22">
        <f>1000+800+600*8+22*400</f>
        <v>15400</v>
      </c>
      <c r="E2115" s="25">
        <f t="shared" ref="E2115:E2125" si="349">E2114+1</f>
        <v>15</v>
      </c>
    </row>
    <row r="2116" ht="15.75" customHeight="1">
      <c r="A2116" s="62">
        <v>5050.0</v>
      </c>
      <c r="B2116" s="98" t="s">
        <v>33</v>
      </c>
      <c r="C2116" s="39"/>
      <c r="D2116" s="29">
        <v>0.0</v>
      </c>
      <c r="E2116" s="25">
        <f t="shared" si="349"/>
        <v>16</v>
      </c>
    </row>
    <row r="2117" ht="15.75" customHeight="1">
      <c r="A2117" s="62">
        <v>5460.0</v>
      </c>
      <c r="B2117" s="98" t="s">
        <v>50</v>
      </c>
      <c r="C2117" s="39"/>
      <c r="D2117" s="29">
        <v>0.0</v>
      </c>
      <c r="E2117" s="25">
        <f t="shared" si="349"/>
        <v>17</v>
      </c>
    </row>
    <row r="2118" ht="15.75" customHeight="1">
      <c r="A2118" s="62">
        <v>5461.0</v>
      </c>
      <c r="B2118" s="98" t="s">
        <v>84</v>
      </c>
      <c r="C2118" s="39"/>
      <c r="D2118" s="29">
        <f>125*125+18*2*125</f>
        <v>20125</v>
      </c>
      <c r="E2118" s="25">
        <f t="shared" si="349"/>
        <v>18</v>
      </c>
    </row>
    <row r="2119" ht="15.75" customHeight="1">
      <c r="A2119" s="62">
        <v>5501.0</v>
      </c>
      <c r="B2119" s="98" t="s">
        <v>106</v>
      </c>
      <c r="C2119" s="39"/>
      <c r="D2119" s="22">
        <v>0.0</v>
      </c>
      <c r="E2119" s="25">
        <f t="shared" si="349"/>
        <v>19</v>
      </c>
    </row>
    <row r="2120" ht="15.75" customHeight="1">
      <c r="A2120" s="62">
        <v>5810.0</v>
      </c>
      <c r="B2120" s="98" t="s">
        <v>34</v>
      </c>
      <c r="C2120" s="39"/>
      <c r="D2120" s="29">
        <v>1000.0</v>
      </c>
      <c r="E2120" s="25">
        <f t="shared" si="349"/>
        <v>20</v>
      </c>
    </row>
    <row r="2121" ht="15.75" customHeight="1">
      <c r="A2121" s="62">
        <v>6070.0</v>
      </c>
      <c r="B2121" s="98" t="s">
        <v>35</v>
      </c>
      <c r="C2121" s="39"/>
      <c r="D2121" s="22">
        <f>350*32+450*8</f>
        <v>14800</v>
      </c>
      <c r="E2121" s="25">
        <f t="shared" si="349"/>
        <v>21</v>
      </c>
    </row>
    <row r="2122" ht="15.75" customHeight="1">
      <c r="A2122" s="62">
        <v>6071.0</v>
      </c>
      <c r="B2122" s="98" t="s">
        <v>36</v>
      </c>
      <c r="C2122" s="39"/>
      <c r="D2122" s="22">
        <v>0.0</v>
      </c>
      <c r="E2122" s="25">
        <f t="shared" si="349"/>
        <v>22</v>
      </c>
    </row>
    <row r="2123" ht="15.75" customHeight="1">
      <c r="A2123" s="62">
        <v>6211.0</v>
      </c>
      <c r="B2123" s="98" t="s">
        <v>73</v>
      </c>
      <c r="C2123" s="39"/>
      <c r="D2123" s="22">
        <v>0.0</v>
      </c>
      <c r="E2123" s="25">
        <f t="shared" si="349"/>
        <v>23</v>
      </c>
    </row>
    <row r="2124" ht="15.75" customHeight="1">
      <c r="A2124" s="62">
        <v>6991.0</v>
      </c>
      <c r="B2124" s="127" t="s">
        <v>76</v>
      </c>
      <c r="C2124" s="39"/>
      <c r="D2124" s="29">
        <v>4000.0</v>
      </c>
      <c r="E2124" s="25">
        <f t="shared" si="349"/>
        <v>24</v>
      </c>
    </row>
    <row r="2125" ht="15.75" customHeight="1">
      <c r="A2125" s="62">
        <v>6800.0</v>
      </c>
      <c r="B2125" s="98" t="s">
        <v>114</v>
      </c>
      <c r="C2125" s="39"/>
      <c r="D2125" s="22">
        <f>('Guard fees'!$E$69)</f>
        <v>418426.875</v>
      </c>
      <c r="E2125" s="25">
        <f t="shared" si="349"/>
        <v>25</v>
      </c>
    </row>
    <row r="2126" ht="15.75" customHeight="1">
      <c r="A2126" s="62"/>
      <c r="B2126" s="106" t="s">
        <v>19</v>
      </c>
      <c r="C2126" s="344">
        <f t="shared" ref="C2126:D2126" si="350">SUM(C2100:C2125)</f>
        <v>64000</v>
      </c>
      <c r="D2126" s="32">
        <f t="shared" si="350"/>
        <v>667421.875</v>
      </c>
      <c r="E2126" s="25"/>
    </row>
    <row r="2127" ht="15.75" customHeight="1">
      <c r="A2127" s="101"/>
      <c r="B2127" s="136" t="s">
        <v>20</v>
      </c>
      <c r="C2127" s="53"/>
      <c r="D2127" s="32">
        <f>C2126-D2126</f>
        <v>-603421.875</v>
      </c>
      <c r="E2127" s="40"/>
    </row>
    <row r="2128" ht="15.75" customHeight="1">
      <c r="A2128" s="97">
        <v>192301.0</v>
      </c>
      <c r="B2128" s="176" t="s">
        <v>408</v>
      </c>
      <c r="C2128" s="75"/>
      <c r="D2128" s="76"/>
      <c r="E2128" s="177"/>
    </row>
    <row r="2129" ht="15.75" customHeight="1">
      <c r="A2129" s="101">
        <v>3011.0</v>
      </c>
      <c r="B2129" s="98" t="s">
        <v>22</v>
      </c>
      <c r="C2129" s="39">
        <f>450*245+430*5+150*70</f>
        <v>122900</v>
      </c>
      <c r="D2129" s="22"/>
      <c r="E2129" s="40">
        <f>E2125+1</f>
        <v>26</v>
      </c>
    </row>
    <row r="2130" ht="15.75" customHeight="1">
      <c r="A2130" s="163">
        <v>3014.0</v>
      </c>
      <c r="B2130" s="127" t="s">
        <v>55</v>
      </c>
      <c r="C2130" s="39">
        <f>450*10</f>
        <v>4500</v>
      </c>
      <c r="D2130" s="22"/>
      <c r="E2130" s="40">
        <f t="shared" ref="E2130:E2139" si="351">E2129+1</f>
        <v>27</v>
      </c>
    </row>
    <row r="2131" ht="15.75" customHeight="1">
      <c r="A2131" s="163">
        <v>3030.0</v>
      </c>
      <c r="B2131" s="127" t="s">
        <v>241</v>
      </c>
      <c r="C2131" s="68">
        <f>40000*1.13</f>
        <v>45200</v>
      </c>
      <c r="D2131" s="22"/>
      <c r="E2131" s="40">
        <f t="shared" si="351"/>
        <v>28</v>
      </c>
    </row>
    <row r="2132" ht="15.75" customHeight="1">
      <c r="A2132" s="163">
        <v>4012.0</v>
      </c>
      <c r="B2132" s="127" t="s">
        <v>118</v>
      </c>
      <c r="C2132" s="39"/>
      <c r="D2132" s="22">
        <f>C2131/1.9</f>
        <v>23789.47368</v>
      </c>
      <c r="E2132" s="40">
        <f t="shared" si="351"/>
        <v>29</v>
      </c>
    </row>
    <row r="2133" ht="15.75" customHeight="1">
      <c r="A2133" s="101">
        <v>4013.0</v>
      </c>
      <c r="B2133" s="98" t="s">
        <v>98</v>
      </c>
      <c r="C2133" s="39"/>
      <c r="D2133" s="22">
        <f>32*100</f>
        <v>3200</v>
      </c>
      <c r="E2133" s="40">
        <f t="shared" si="351"/>
        <v>30</v>
      </c>
    </row>
    <row r="2134" ht="15.75" customHeight="1">
      <c r="A2134" s="101">
        <v>4076.0</v>
      </c>
      <c r="B2134" s="98" t="s">
        <v>29</v>
      </c>
      <c r="C2134" s="39"/>
      <c r="D2134" s="22">
        <f>260*350</f>
        <v>91000</v>
      </c>
      <c r="E2134" s="40">
        <f t="shared" si="351"/>
        <v>31</v>
      </c>
    </row>
    <row r="2135" ht="15.75" customHeight="1">
      <c r="A2135" s="163">
        <v>4077.0</v>
      </c>
      <c r="B2135" s="127" t="s">
        <v>328</v>
      </c>
      <c r="C2135" s="39"/>
      <c r="D2135" s="29">
        <v>0.0</v>
      </c>
      <c r="E2135" s="40">
        <f t="shared" si="351"/>
        <v>32</v>
      </c>
    </row>
    <row r="2136" ht="15.75" customHeight="1">
      <c r="A2136" s="101">
        <v>4078.0</v>
      </c>
      <c r="B2136" s="98" t="s">
        <v>30</v>
      </c>
      <c r="C2136" s="39"/>
      <c r="D2136" s="22">
        <v>9500.0</v>
      </c>
      <c r="E2136" s="40">
        <f t="shared" si="351"/>
        <v>33</v>
      </c>
    </row>
    <row r="2137" ht="15.75" customHeight="1">
      <c r="A2137" s="62">
        <v>5060.0</v>
      </c>
      <c r="B2137" s="98" t="s">
        <v>113</v>
      </c>
      <c r="C2137" s="39"/>
      <c r="D2137" s="29">
        <v>5000.0</v>
      </c>
      <c r="E2137" s="25">
        <f t="shared" si="351"/>
        <v>34</v>
      </c>
    </row>
    <row r="2138" ht="15.75" customHeight="1">
      <c r="A2138" s="163">
        <v>6991.0</v>
      </c>
      <c r="B2138" s="127" t="s">
        <v>76</v>
      </c>
      <c r="C2138" s="39"/>
      <c r="D2138" s="22">
        <v>600.0</v>
      </c>
      <c r="E2138" s="40">
        <f t="shared" si="351"/>
        <v>35</v>
      </c>
    </row>
    <row r="2139" ht="15.75" customHeight="1">
      <c r="A2139" s="101">
        <v>6993.0</v>
      </c>
      <c r="B2139" s="98" t="s">
        <v>115</v>
      </c>
      <c r="C2139" s="39"/>
      <c r="D2139" s="22">
        <f>175*10*1.25</f>
        <v>2187.5</v>
      </c>
      <c r="E2139" s="40">
        <f t="shared" si="351"/>
        <v>36</v>
      </c>
    </row>
    <row r="2140" ht="15.75" customHeight="1">
      <c r="A2140" s="101"/>
      <c r="B2140" s="135" t="s">
        <v>19</v>
      </c>
      <c r="C2140" s="344">
        <f t="shared" ref="C2140:D2140" si="352">SUM(C2129:C2139)</f>
        <v>172600</v>
      </c>
      <c r="D2140" s="32">
        <f t="shared" si="352"/>
        <v>135276.9737</v>
      </c>
      <c r="E2140" s="40"/>
    </row>
    <row r="2141" ht="15.75" customHeight="1">
      <c r="A2141" s="101"/>
      <c r="B2141" s="136" t="s">
        <v>20</v>
      </c>
      <c r="C2141" s="53"/>
      <c r="D2141" s="32">
        <f>C2140-D2140</f>
        <v>37323.02632</v>
      </c>
      <c r="E2141" s="40"/>
    </row>
    <row r="2142" ht="15.75" customHeight="1">
      <c r="A2142" s="97">
        <v>192302.0</v>
      </c>
      <c r="B2142" s="176" t="s">
        <v>409</v>
      </c>
      <c r="C2142" s="75"/>
      <c r="D2142" s="76"/>
      <c r="E2142" s="177"/>
    </row>
    <row r="2143" ht="15.75" customHeight="1">
      <c r="A2143" s="62">
        <v>3011.0</v>
      </c>
      <c r="B2143" s="98" t="s">
        <v>22</v>
      </c>
      <c r="C2143" s="39">
        <f>430*100</f>
        <v>43000</v>
      </c>
      <c r="D2143" s="22"/>
      <c r="E2143" s="25">
        <f>E2139+1</f>
        <v>37</v>
      </c>
    </row>
    <row r="2144" ht="15.75" customHeight="1">
      <c r="A2144" s="62">
        <v>3011.0</v>
      </c>
      <c r="B2144" s="98" t="s">
        <v>22</v>
      </c>
      <c r="C2144" s="68">
        <v>0.0</v>
      </c>
      <c r="D2144" s="22"/>
      <c r="E2144" s="40">
        <f t="shared" ref="E2144:E2153" si="353">E2143+1</f>
        <v>38</v>
      </c>
    </row>
    <row r="2145" ht="15.75" customHeight="1">
      <c r="A2145" s="62">
        <v>3030.0</v>
      </c>
      <c r="B2145" s="98" t="s">
        <v>117</v>
      </c>
      <c r="C2145" s="68">
        <f>50000*1.13</f>
        <v>56500</v>
      </c>
      <c r="D2145" s="22"/>
      <c r="E2145" s="40">
        <f t="shared" si="353"/>
        <v>39</v>
      </c>
    </row>
    <row r="2146" ht="15.75" customHeight="1">
      <c r="A2146" s="62">
        <v>4012.0</v>
      </c>
      <c r="B2146" s="98" t="s">
        <v>118</v>
      </c>
      <c r="C2146" s="39"/>
      <c r="D2146" s="22">
        <f>C2145/1.9</f>
        <v>29736.84211</v>
      </c>
      <c r="E2146" s="40">
        <f t="shared" si="353"/>
        <v>40</v>
      </c>
    </row>
    <row r="2147" ht="15.75" customHeight="1">
      <c r="A2147" s="62">
        <v>4013.0</v>
      </c>
      <c r="B2147" s="98" t="s">
        <v>98</v>
      </c>
      <c r="C2147" s="39"/>
      <c r="D2147" s="22">
        <f>32*100</f>
        <v>3200</v>
      </c>
      <c r="E2147" s="40">
        <f t="shared" si="353"/>
        <v>41</v>
      </c>
    </row>
    <row r="2148" ht="15.75" customHeight="1">
      <c r="A2148" s="62">
        <v>4076.0</v>
      </c>
      <c r="B2148" s="98" t="s">
        <v>29</v>
      </c>
      <c r="C2148" s="39"/>
      <c r="D2148" s="22">
        <v>0.0</v>
      </c>
      <c r="E2148" s="40">
        <f t="shared" si="353"/>
        <v>42</v>
      </c>
    </row>
    <row r="2149" ht="15.75" customHeight="1">
      <c r="A2149" s="62">
        <v>4077.0</v>
      </c>
      <c r="B2149" s="98" t="s">
        <v>328</v>
      </c>
      <c r="C2149" s="39"/>
      <c r="D2149" s="22">
        <v>0.0</v>
      </c>
      <c r="E2149" s="25">
        <f t="shared" si="353"/>
        <v>43</v>
      </c>
    </row>
    <row r="2150" ht="15.75" customHeight="1">
      <c r="A2150" s="62">
        <v>4078.0</v>
      </c>
      <c r="B2150" s="98" t="s">
        <v>30</v>
      </c>
      <c r="C2150" s="39"/>
      <c r="D2150" s="22">
        <v>3000.0</v>
      </c>
      <c r="E2150" s="25">
        <f t="shared" si="353"/>
        <v>44</v>
      </c>
    </row>
    <row r="2151" ht="15.75" customHeight="1">
      <c r="A2151" s="62">
        <v>5461.0</v>
      </c>
      <c r="B2151" s="98" t="s">
        <v>84</v>
      </c>
      <c r="C2151" s="39"/>
      <c r="D2151" s="22">
        <v>0.0</v>
      </c>
      <c r="E2151" s="40">
        <f t="shared" si="353"/>
        <v>45</v>
      </c>
    </row>
    <row r="2152" ht="15.75" customHeight="1">
      <c r="A2152" s="62">
        <v>5710.0</v>
      </c>
      <c r="B2152" s="98" t="s">
        <v>143</v>
      </c>
      <c r="C2152" s="39"/>
      <c r="D2152" s="22">
        <v>14900.0</v>
      </c>
      <c r="E2152" s="40">
        <f t="shared" si="353"/>
        <v>46</v>
      </c>
    </row>
    <row r="2153" ht="15.75" customHeight="1">
      <c r="A2153" s="62">
        <v>6991.0</v>
      </c>
      <c r="B2153" s="127" t="s">
        <v>76</v>
      </c>
      <c r="C2153" s="39"/>
      <c r="D2153" s="29">
        <v>600.0</v>
      </c>
      <c r="E2153" s="40">
        <f t="shared" si="353"/>
        <v>47</v>
      </c>
    </row>
    <row r="2154" ht="15.75" customHeight="1">
      <c r="A2154" s="101"/>
      <c r="B2154" s="135" t="s">
        <v>19</v>
      </c>
      <c r="C2154" s="344">
        <f t="shared" ref="C2154:D2154" si="354">SUM(C2143:C2153)</f>
        <v>99500</v>
      </c>
      <c r="D2154" s="32">
        <f t="shared" si="354"/>
        <v>51436.84211</v>
      </c>
      <c r="E2154" s="40"/>
    </row>
    <row r="2155" ht="15.75" customHeight="1">
      <c r="A2155" s="101"/>
      <c r="B2155" s="136" t="s">
        <v>20</v>
      </c>
      <c r="C2155" s="53"/>
      <c r="D2155" s="32">
        <f>C2154-D2154</f>
        <v>48063.15789</v>
      </c>
      <c r="E2155" s="40"/>
    </row>
    <row r="2156" ht="15.75" customHeight="1">
      <c r="A2156" s="97">
        <v>192303.0</v>
      </c>
      <c r="B2156" s="176" t="s">
        <v>348</v>
      </c>
      <c r="C2156" s="75"/>
      <c r="D2156" s="76"/>
      <c r="E2156" s="177"/>
    </row>
    <row r="2157" ht="15.75" customHeight="1">
      <c r="A2157" s="62">
        <v>3011.0</v>
      </c>
      <c r="B2157" s="98" t="s">
        <v>22</v>
      </c>
      <c r="C2157" s="68">
        <f>400*150+400*70</f>
        <v>88000</v>
      </c>
      <c r="D2157" s="22"/>
      <c r="E2157" s="25">
        <f>E2153+1</f>
        <v>48</v>
      </c>
    </row>
    <row r="2158" ht="15.75" customHeight="1">
      <c r="A2158" s="62">
        <v>3030.0</v>
      </c>
      <c r="B2158" s="98" t="s">
        <v>117</v>
      </c>
      <c r="C2158" s="39">
        <f>50000*1.13</f>
        <v>56500</v>
      </c>
      <c r="D2158" s="22"/>
      <c r="E2158" s="25">
        <f t="shared" ref="E2158:E2160" si="355">E2157+1</f>
        <v>49</v>
      </c>
    </row>
    <row r="2159" ht="15.75" customHeight="1">
      <c r="A2159" s="62">
        <v>4012.0</v>
      </c>
      <c r="B2159" s="98" t="s">
        <v>118</v>
      </c>
      <c r="C2159" s="39"/>
      <c r="D2159" s="22">
        <f>C2158/1.9</f>
        <v>29736.84211</v>
      </c>
      <c r="E2159" s="25">
        <f t="shared" si="355"/>
        <v>50</v>
      </c>
    </row>
    <row r="2160" ht="15.75" customHeight="1">
      <c r="A2160" s="108">
        <v>4013.0</v>
      </c>
      <c r="B2160" s="127" t="s">
        <v>98</v>
      </c>
      <c r="C2160" s="39"/>
      <c r="D2160" s="29">
        <f>100*32</f>
        <v>3200</v>
      </c>
      <c r="E2160" s="25">
        <f t="shared" si="355"/>
        <v>51</v>
      </c>
    </row>
    <row r="2161" ht="15.75" customHeight="1">
      <c r="A2161" s="62">
        <v>4047.0</v>
      </c>
      <c r="B2161" s="98" t="s">
        <v>14</v>
      </c>
      <c r="C2161" s="39"/>
      <c r="D2161" s="29">
        <v>12205.0</v>
      </c>
      <c r="E2161" s="25">
        <f>E2159+1</f>
        <v>51</v>
      </c>
    </row>
    <row r="2162" ht="15.75" customHeight="1">
      <c r="A2162" s="62">
        <v>4076.0</v>
      </c>
      <c r="B2162" s="98" t="s">
        <v>29</v>
      </c>
      <c r="C2162" s="39"/>
      <c r="D2162" s="29">
        <v>0.0</v>
      </c>
      <c r="E2162" s="25">
        <f t="shared" ref="E2162:E2165" si="356">E2161+1</f>
        <v>52</v>
      </c>
    </row>
    <row r="2163" ht="18.0" customHeight="1">
      <c r="A2163" s="62">
        <v>4078.0</v>
      </c>
      <c r="B2163" s="98" t="s">
        <v>30</v>
      </c>
      <c r="C2163" s="39"/>
      <c r="D2163" s="29">
        <v>3000.0</v>
      </c>
      <c r="E2163" s="25">
        <f t="shared" si="356"/>
        <v>53</v>
      </c>
    </row>
    <row r="2164" ht="15.75" customHeight="1">
      <c r="A2164" s="62">
        <v>5010.0</v>
      </c>
      <c r="B2164" s="98" t="s">
        <v>61</v>
      </c>
      <c r="C2164" s="39"/>
      <c r="D2164" s="22">
        <v>0.0</v>
      </c>
      <c r="E2164" s="25">
        <f t="shared" si="356"/>
        <v>54</v>
      </c>
    </row>
    <row r="2165" ht="15.75" customHeight="1">
      <c r="A2165" s="62">
        <v>6993.0</v>
      </c>
      <c r="B2165" s="98" t="s">
        <v>115</v>
      </c>
      <c r="C2165" s="39"/>
      <c r="D2165" s="22">
        <f>400*6.25</f>
        <v>2500</v>
      </c>
      <c r="E2165" s="25">
        <f t="shared" si="356"/>
        <v>55</v>
      </c>
    </row>
    <row r="2166" ht="15.75" customHeight="1">
      <c r="A2166" s="62"/>
      <c r="B2166" s="106" t="s">
        <v>19</v>
      </c>
      <c r="C2166" s="31">
        <f t="shared" ref="C2166:D2166" si="357">SUM(C2157:C2165)</f>
        <v>144500</v>
      </c>
      <c r="D2166" s="32">
        <f t="shared" si="357"/>
        <v>50641.84211</v>
      </c>
      <c r="E2166" s="25"/>
    </row>
    <row r="2167" ht="15.75" customHeight="1">
      <c r="A2167" s="101"/>
      <c r="B2167" s="136" t="s">
        <v>20</v>
      </c>
      <c r="C2167" s="53"/>
      <c r="D2167" s="32">
        <f>C2166-D2166</f>
        <v>93858.15789</v>
      </c>
      <c r="E2167" s="40"/>
    </row>
    <row r="2168" ht="15.75" customHeight="1">
      <c r="A2168" s="97">
        <v>192304.0</v>
      </c>
      <c r="B2168" s="176" t="s">
        <v>410</v>
      </c>
      <c r="C2168" s="75"/>
      <c r="D2168" s="76"/>
      <c r="E2168" s="177"/>
    </row>
    <row r="2169" ht="15.75" hidden="1" customHeight="1">
      <c r="A2169" s="62">
        <v>3011.0</v>
      </c>
      <c r="B2169" s="98" t="s">
        <v>22</v>
      </c>
      <c r="C2169" s="39">
        <v>0.0</v>
      </c>
      <c r="D2169" s="22"/>
      <c r="E2169" s="25">
        <f t="shared" ref="E2169:E2170" si="358">E2168+1</f>
        <v>1</v>
      </c>
    </row>
    <row r="2170" ht="15.75" hidden="1" customHeight="1">
      <c r="A2170" s="62">
        <v>4013.0</v>
      </c>
      <c r="B2170" s="98" t="s">
        <v>98</v>
      </c>
      <c r="C2170" s="39"/>
      <c r="D2170" s="22">
        <v>0.0</v>
      </c>
      <c r="E2170" s="25">
        <f t="shared" si="358"/>
        <v>2</v>
      </c>
    </row>
    <row r="2171" ht="15.75" hidden="1" customHeight="1">
      <c r="A2171" s="62"/>
      <c r="B2171" s="106" t="s">
        <v>19</v>
      </c>
      <c r="C2171" s="31">
        <f t="shared" ref="C2171:D2171" si="359">SUM(C2169:C2170)</f>
        <v>0</v>
      </c>
      <c r="D2171" s="32">
        <f t="shared" si="359"/>
        <v>0</v>
      </c>
      <c r="E2171" s="25"/>
    </row>
    <row r="2172" ht="15.75" hidden="1" customHeight="1">
      <c r="A2172" s="101"/>
      <c r="B2172" s="136" t="s">
        <v>20</v>
      </c>
      <c r="C2172" s="53"/>
      <c r="D2172" s="32">
        <f>C2171-D2171</f>
        <v>0</v>
      </c>
      <c r="E2172" s="40"/>
    </row>
    <row r="2173" ht="15.75" customHeight="1">
      <c r="A2173" s="97">
        <v>192305.0</v>
      </c>
      <c r="B2173" s="176" t="s">
        <v>411</v>
      </c>
      <c r="C2173" s="75"/>
      <c r="D2173" s="76"/>
      <c r="E2173" s="177"/>
    </row>
    <row r="2174" ht="15.75" hidden="1" customHeight="1">
      <c r="A2174" s="62">
        <v>3011.0</v>
      </c>
      <c r="B2174" s="98" t="s">
        <v>22</v>
      </c>
      <c r="C2174" s="39">
        <v>0.0</v>
      </c>
      <c r="D2174" s="22"/>
      <c r="E2174" s="25">
        <f t="shared" ref="E2174:E2177" si="360">E2173+1</f>
        <v>1</v>
      </c>
    </row>
    <row r="2175" ht="15.75" hidden="1" customHeight="1">
      <c r="A2175" s="62">
        <v>4013.0</v>
      </c>
      <c r="B2175" s="98" t="s">
        <v>98</v>
      </c>
      <c r="C2175" s="39"/>
      <c r="D2175" s="22">
        <v>0.0</v>
      </c>
      <c r="E2175" s="25">
        <f t="shared" si="360"/>
        <v>2</v>
      </c>
    </row>
    <row r="2176" ht="15.75" hidden="1" customHeight="1">
      <c r="A2176" s="62">
        <v>4076.0</v>
      </c>
      <c r="B2176" s="98" t="s">
        <v>29</v>
      </c>
      <c r="C2176" s="39"/>
      <c r="D2176" s="22">
        <v>0.0</v>
      </c>
      <c r="E2176" s="25">
        <f t="shared" si="360"/>
        <v>3</v>
      </c>
    </row>
    <row r="2177" ht="15.75" hidden="1" customHeight="1">
      <c r="A2177" s="62">
        <v>5010.0</v>
      </c>
      <c r="B2177" s="98" t="s">
        <v>61</v>
      </c>
      <c r="C2177" s="39"/>
      <c r="D2177" s="22">
        <v>0.0</v>
      </c>
      <c r="E2177" s="25">
        <f t="shared" si="360"/>
        <v>4</v>
      </c>
    </row>
    <row r="2178" ht="15.75" hidden="1" customHeight="1">
      <c r="A2178" s="62"/>
      <c r="B2178" s="106" t="s">
        <v>19</v>
      </c>
      <c r="C2178" s="31">
        <f>SUM(C2174:C2176)</f>
        <v>0</v>
      </c>
      <c r="D2178" s="32">
        <f>SUM(D2174:D2177)</f>
        <v>0</v>
      </c>
      <c r="E2178" s="25"/>
    </row>
    <row r="2179" ht="15.75" hidden="1" customHeight="1">
      <c r="A2179" s="101"/>
      <c r="B2179" s="136" t="s">
        <v>20</v>
      </c>
      <c r="C2179" s="53"/>
      <c r="D2179" s="32">
        <f>C2178-D2178</f>
        <v>0</v>
      </c>
      <c r="E2179" s="40"/>
    </row>
    <row r="2180" ht="15.75" customHeight="1">
      <c r="A2180" s="97">
        <v>192306.0</v>
      </c>
      <c r="B2180" s="176" t="s">
        <v>412</v>
      </c>
      <c r="C2180" s="75"/>
      <c r="D2180" s="76"/>
      <c r="E2180" s="177"/>
    </row>
    <row r="2181" ht="15.75" customHeight="1">
      <c r="A2181" s="62">
        <v>3011.0</v>
      </c>
      <c r="B2181" s="98" t="s">
        <v>22</v>
      </c>
      <c r="C2181" s="345">
        <f>700*300+250*450</f>
        <v>322500</v>
      </c>
      <c r="D2181" s="346"/>
      <c r="E2181" s="347">
        <f>E2165+1</f>
        <v>56</v>
      </c>
    </row>
    <row r="2182" ht="15.75" customHeight="1">
      <c r="A2182" s="62">
        <v>3030.0</v>
      </c>
      <c r="B2182" s="98" t="s">
        <v>117</v>
      </c>
      <c r="C2182" s="348">
        <f>225000*1.13</f>
        <v>254250</v>
      </c>
      <c r="D2182" s="349"/>
      <c r="E2182" s="350">
        <f t="shared" ref="E2182:E2195" si="361">E2181+1</f>
        <v>57</v>
      </c>
    </row>
    <row r="2183" ht="15.75" customHeight="1">
      <c r="A2183" s="62">
        <v>3076.0</v>
      </c>
      <c r="B2183" s="98" t="s">
        <v>281</v>
      </c>
      <c r="C2183" s="39">
        <v>0.0</v>
      </c>
      <c r="D2183" s="22"/>
      <c r="E2183" s="25">
        <f t="shared" si="361"/>
        <v>58</v>
      </c>
    </row>
    <row r="2184" ht="15.75" customHeight="1">
      <c r="A2184" s="62">
        <v>3803.0</v>
      </c>
      <c r="B2184" s="98" t="s">
        <v>413</v>
      </c>
      <c r="C2184" s="39"/>
      <c r="D2184" s="22"/>
      <c r="E2184" s="25">
        <f t="shared" si="361"/>
        <v>59</v>
      </c>
    </row>
    <row r="2185" ht="15.75" customHeight="1">
      <c r="A2185" s="62">
        <v>4010.0</v>
      </c>
      <c r="B2185" s="98" t="s">
        <v>48</v>
      </c>
      <c r="C2185" s="39"/>
      <c r="D2185" s="29">
        <v>75000.0</v>
      </c>
      <c r="E2185" s="25">
        <f t="shared" si="361"/>
        <v>60</v>
      </c>
    </row>
    <row r="2186" ht="15.75" customHeight="1">
      <c r="A2186" s="62">
        <v>4012.0</v>
      </c>
      <c r="B2186" s="98" t="s">
        <v>118</v>
      </c>
      <c r="C2186" s="39"/>
      <c r="D2186" s="22">
        <f>C2182/1.9</f>
        <v>133815.7895</v>
      </c>
      <c r="E2186" s="25">
        <f t="shared" si="361"/>
        <v>61</v>
      </c>
    </row>
    <row r="2187" ht="15.75" customHeight="1">
      <c r="A2187" s="62">
        <v>4013.0</v>
      </c>
      <c r="B2187" s="98" t="s">
        <v>98</v>
      </c>
      <c r="C2187" s="39"/>
      <c r="D2187" s="22">
        <f>10*40+32*100+32*140+16*100+22*40+10*100+2*100</f>
        <v>11760</v>
      </c>
      <c r="E2187" s="25">
        <f t="shared" si="361"/>
        <v>62</v>
      </c>
    </row>
    <row r="2188" ht="15.75" customHeight="1">
      <c r="A2188" s="62">
        <v>4076.0</v>
      </c>
      <c r="B2188" s="98" t="s">
        <v>29</v>
      </c>
      <c r="C2188" s="39"/>
      <c r="D2188" s="22">
        <v>0.0</v>
      </c>
      <c r="E2188" s="25">
        <f t="shared" si="361"/>
        <v>63</v>
      </c>
    </row>
    <row r="2189" ht="15.75" customHeight="1">
      <c r="A2189" s="62">
        <v>4077.0</v>
      </c>
      <c r="B2189" s="98" t="s">
        <v>328</v>
      </c>
      <c r="C2189" s="39"/>
      <c r="D2189" s="29">
        <v>200000.0</v>
      </c>
      <c r="E2189" s="25">
        <f t="shared" si="361"/>
        <v>64</v>
      </c>
    </row>
    <row r="2190" ht="15.75" customHeight="1">
      <c r="A2190" s="62">
        <v>4078.0</v>
      </c>
      <c r="B2190" s="98" t="s">
        <v>30</v>
      </c>
      <c r="C2190" s="39"/>
      <c r="D2190" s="22">
        <v>30000.0</v>
      </c>
      <c r="E2190" s="25">
        <f t="shared" si="361"/>
        <v>65</v>
      </c>
    </row>
    <row r="2191" ht="15.75" customHeight="1">
      <c r="A2191" s="62">
        <v>5061.0</v>
      </c>
      <c r="B2191" s="98" t="s">
        <v>82</v>
      </c>
      <c r="C2191" s="39"/>
      <c r="D2191" s="22">
        <v>12250.0</v>
      </c>
      <c r="E2191" s="25">
        <f t="shared" si="361"/>
        <v>66</v>
      </c>
    </row>
    <row r="2192" ht="15.75" customHeight="1">
      <c r="A2192" s="62">
        <v>5460.0</v>
      </c>
      <c r="B2192" s="98" t="s">
        <v>50</v>
      </c>
      <c r="C2192" s="39"/>
      <c r="D2192" s="22">
        <v>6000.0</v>
      </c>
      <c r="E2192" s="25">
        <f t="shared" si="361"/>
        <v>67</v>
      </c>
    </row>
    <row r="2193" ht="15.75" customHeight="1">
      <c r="A2193" s="62">
        <v>5461.0</v>
      </c>
      <c r="B2193" s="98" t="s">
        <v>84</v>
      </c>
      <c r="C2193" s="39"/>
      <c r="D2193" s="29">
        <v>80000.0</v>
      </c>
      <c r="E2193" s="25">
        <f t="shared" si="361"/>
        <v>68</v>
      </c>
    </row>
    <row r="2194" ht="15.75" customHeight="1">
      <c r="A2194" s="62">
        <v>6993.0</v>
      </c>
      <c r="B2194" s="98" t="s">
        <v>115</v>
      </c>
      <c r="C2194" s="39"/>
      <c r="D2194" s="22">
        <f>1150*12.25</f>
        <v>14087.5</v>
      </c>
      <c r="E2194" s="25">
        <f t="shared" si="361"/>
        <v>69</v>
      </c>
    </row>
    <row r="2195" ht="15.75" customHeight="1">
      <c r="A2195" s="62">
        <v>6991.0</v>
      </c>
      <c r="B2195" s="127" t="s">
        <v>76</v>
      </c>
      <c r="C2195" s="39"/>
      <c r="D2195" s="22">
        <v>600.0</v>
      </c>
      <c r="E2195" s="25">
        <f t="shared" si="361"/>
        <v>70</v>
      </c>
    </row>
    <row r="2196" ht="15.75" customHeight="1">
      <c r="A2196" s="62"/>
      <c r="B2196" s="106" t="s">
        <v>19</v>
      </c>
      <c r="C2196" s="31">
        <f t="shared" ref="C2196:D2196" si="362">SUM(C2181:C2195)</f>
        <v>576750</v>
      </c>
      <c r="D2196" s="32">
        <f t="shared" si="362"/>
        <v>563513.2895</v>
      </c>
      <c r="E2196" s="25"/>
    </row>
    <row r="2197" ht="15.75" customHeight="1">
      <c r="A2197" s="101"/>
      <c r="B2197" s="136" t="s">
        <v>20</v>
      </c>
      <c r="C2197" s="39"/>
      <c r="D2197" s="32">
        <f>C2196-D2196</f>
        <v>13236.71053</v>
      </c>
      <c r="E2197" s="40"/>
    </row>
    <row r="2198" ht="15.75" customHeight="1">
      <c r="A2198" s="97">
        <v>192307.0</v>
      </c>
      <c r="B2198" s="176" t="s">
        <v>414</v>
      </c>
      <c r="C2198" s="75"/>
      <c r="D2198" s="76"/>
      <c r="E2198" s="177"/>
    </row>
    <row r="2199" ht="15.75" customHeight="1">
      <c r="A2199" s="62">
        <v>3011.0</v>
      </c>
      <c r="B2199" s="98" t="s">
        <v>22</v>
      </c>
      <c r="C2199" s="39">
        <f>70*400</f>
        <v>28000</v>
      </c>
      <c r="D2199" s="22"/>
      <c r="E2199" s="25">
        <f>E2195+1</f>
        <v>71</v>
      </c>
    </row>
    <row r="2200" ht="15.75" customHeight="1">
      <c r="A2200" s="108">
        <v>3014.0</v>
      </c>
      <c r="B2200" s="127" t="s">
        <v>55</v>
      </c>
      <c r="C2200" s="39">
        <f>70*10*2</f>
        <v>1400</v>
      </c>
      <c r="D2200" s="22"/>
      <c r="E2200" s="25">
        <f t="shared" ref="E2200:E2205" si="363">E2199+1</f>
        <v>72</v>
      </c>
    </row>
    <row r="2201" ht="15.75" customHeight="1">
      <c r="A2201" s="62">
        <v>3030.0</v>
      </c>
      <c r="B2201" s="98" t="s">
        <v>117</v>
      </c>
      <c r="C2201" s="68">
        <f>55000*1.13</f>
        <v>62150</v>
      </c>
      <c r="D2201" s="22"/>
      <c r="E2201" s="25">
        <f t="shared" si="363"/>
        <v>73</v>
      </c>
    </row>
    <row r="2202" ht="15.75" customHeight="1">
      <c r="A2202" s="62">
        <v>4012.0</v>
      </c>
      <c r="B2202" s="98" t="s">
        <v>118</v>
      </c>
      <c r="C2202" s="39"/>
      <c r="D2202" s="22">
        <f>C2201/1.9</f>
        <v>32710.52632</v>
      </c>
      <c r="E2202" s="25">
        <f t="shared" si="363"/>
        <v>74</v>
      </c>
    </row>
    <row r="2203" ht="15.75" customHeight="1">
      <c r="A2203" s="62">
        <v>4013.0</v>
      </c>
      <c r="B2203" s="98" t="s">
        <v>98</v>
      </c>
      <c r="C2203" s="39"/>
      <c r="D2203" s="22">
        <f>16*100*2</f>
        <v>3200</v>
      </c>
      <c r="E2203" s="25">
        <f t="shared" si="363"/>
        <v>75</v>
      </c>
    </row>
    <row r="2204" ht="15.75" customHeight="1">
      <c r="A2204" s="62">
        <v>4078.0</v>
      </c>
      <c r="B2204" s="98" t="s">
        <v>30</v>
      </c>
      <c r="C2204" s="39"/>
      <c r="D2204" s="22">
        <v>2000.0</v>
      </c>
      <c r="E2204" s="25">
        <f t="shared" si="363"/>
        <v>76</v>
      </c>
    </row>
    <row r="2205" ht="15.75" customHeight="1">
      <c r="A2205" s="62">
        <v>6993.0</v>
      </c>
      <c r="B2205" s="98" t="s">
        <v>115</v>
      </c>
      <c r="C2205" s="39"/>
      <c r="D2205" s="22">
        <f>450*6.25</f>
        <v>2812.5</v>
      </c>
      <c r="E2205" s="25">
        <f t="shared" si="363"/>
        <v>77</v>
      </c>
    </row>
    <row r="2206" ht="15.75" customHeight="1">
      <c r="A2206" s="62">
        <v>6991.0</v>
      </c>
      <c r="B2206" s="127" t="s">
        <v>76</v>
      </c>
      <c r="C2206" s="39"/>
      <c r="D2206" s="22"/>
      <c r="E2206" s="25">
        <f>E2204+1</f>
        <v>77</v>
      </c>
    </row>
    <row r="2207" ht="15.75" customHeight="1">
      <c r="A2207" s="62"/>
      <c r="B2207" s="106" t="s">
        <v>19</v>
      </c>
      <c r="C2207" s="175">
        <f t="shared" ref="C2207:D2207" si="364">SUM(C2199:C2206)</f>
        <v>91550</v>
      </c>
      <c r="D2207" s="32">
        <f t="shared" si="364"/>
        <v>40723.02632</v>
      </c>
      <c r="E2207" s="25"/>
    </row>
    <row r="2208" ht="15.75" customHeight="1">
      <c r="A2208" s="101"/>
      <c r="B2208" s="136" t="s">
        <v>20</v>
      </c>
      <c r="C2208" s="258"/>
      <c r="D2208" s="32">
        <f>C2207-D2207</f>
        <v>50826.97368</v>
      </c>
      <c r="E2208" s="40"/>
    </row>
    <row r="2209" ht="15.75" customHeight="1">
      <c r="A2209" s="97">
        <v>192332.0</v>
      </c>
      <c r="B2209" s="176" t="s">
        <v>415</v>
      </c>
      <c r="C2209" s="75"/>
      <c r="D2209" s="76"/>
      <c r="E2209" s="177"/>
    </row>
    <row r="2210" ht="15.75" customHeight="1">
      <c r="A2210" s="62">
        <v>3011.0</v>
      </c>
      <c r="B2210" s="98" t="s">
        <v>22</v>
      </c>
      <c r="C2210" s="39">
        <f>450*70</f>
        <v>31500</v>
      </c>
      <c r="D2210" s="22"/>
      <c r="E2210" s="25">
        <f>E2206+1</f>
        <v>78</v>
      </c>
    </row>
    <row r="2211" ht="15.75" customHeight="1">
      <c r="A2211" s="62">
        <v>3030.0</v>
      </c>
      <c r="B2211" s="98" t="s">
        <v>117</v>
      </c>
      <c r="C2211" s="39">
        <f>50000*1.13</f>
        <v>56500</v>
      </c>
      <c r="D2211" s="22"/>
      <c r="E2211" s="25">
        <f t="shared" ref="E2211:E2215" si="365">E2210+1</f>
        <v>79</v>
      </c>
    </row>
    <row r="2212" ht="15.75" customHeight="1">
      <c r="A2212" s="62">
        <v>4012.0</v>
      </c>
      <c r="B2212" s="98" t="s">
        <v>118</v>
      </c>
      <c r="C2212" s="39"/>
      <c r="D2212" s="22">
        <f>C2211/1.9</f>
        <v>29736.84211</v>
      </c>
      <c r="E2212" s="25">
        <f t="shared" si="365"/>
        <v>80</v>
      </c>
    </row>
    <row r="2213" ht="15.75" customHeight="1">
      <c r="A2213" s="62">
        <v>4013.0</v>
      </c>
      <c r="B2213" s="98" t="s">
        <v>98</v>
      </c>
      <c r="C2213" s="39"/>
      <c r="D2213" s="22">
        <f>32*100</f>
        <v>3200</v>
      </c>
      <c r="E2213" s="25">
        <f t="shared" si="365"/>
        <v>81</v>
      </c>
    </row>
    <row r="2214" ht="15.75" customHeight="1">
      <c r="A2214" s="62">
        <v>4078.0</v>
      </c>
      <c r="B2214" s="98" t="s">
        <v>30</v>
      </c>
      <c r="C2214" s="39"/>
      <c r="D2214" s="22">
        <v>1500.0</v>
      </c>
      <c r="E2214" s="25">
        <f t="shared" si="365"/>
        <v>82</v>
      </c>
    </row>
    <row r="2215" ht="15.75" customHeight="1">
      <c r="A2215" s="108">
        <v>6993.0</v>
      </c>
      <c r="B2215" s="98" t="s">
        <v>115</v>
      </c>
      <c r="C2215" s="39"/>
      <c r="D2215" s="22">
        <f>450*6.25</f>
        <v>2812.5</v>
      </c>
      <c r="E2215" s="25">
        <f t="shared" si="365"/>
        <v>83</v>
      </c>
    </row>
    <row r="2216" ht="15.75" customHeight="1">
      <c r="A2216" s="62"/>
      <c r="B2216" s="106" t="s">
        <v>19</v>
      </c>
      <c r="C2216" s="175">
        <f t="shared" ref="C2216:D2216" si="366">SUM(C2210:C2215)</f>
        <v>88000</v>
      </c>
      <c r="D2216" s="32">
        <f t="shared" si="366"/>
        <v>37249.34211</v>
      </c>
      <c r="E2216" s="25"/>
    </row>
    <row r="2217" ht="15.75" customHeight="1">
      <c r="A2217" s="101"/>
      <c r="B2217" s="136" t="s">
        <v>20</v>
      </c>
      <c r="C2217" s="258"/>
      <c r="D2217" s="32">
        <f>C2216-D2216</f>
        <v>50750.65789</v>
      </c>
      <c r="E2217" s="40"/>
    </row>
    <row r="2218" ht="15.75" customHeight="1">
      <c r="A2218" s="97">
        <v>192333.0</v>
      </c>
      <c r="B2218" s="290" t="s">
        <v>416</v>
      </c>
      <c r="C2218" s="75"/>
      <c r="D2218" s="76"/>
      <c r="E2218" s="177"/>
    </row>
    <row r="2219" ht="15.75" customHeight="1">
      <c r="A2219" s="62">
        <v>3011.0</v>
      </c>
      <c r="B2219" s="98" t="s">
        <v>22</v>
      </c>
      <c r="C2219" s="170">
        <f>70*300</f>
        <v>21000</v>
      </c>
      <c r="D2219" s="22"/>
      <c r="E2219" s="25">
        <f>E2215+1</f>
        <v>84</v>
      </c>
    </row>
    <row r="2220" ht="15.75" customHeight="1">
      <c r="A2220" s="108">
        <v>3014.0</v>
      </c>
      <c r="B2220" s="127" t="s">
        <v>55</v>
      </c>
      <c r="C2220" s="170">
        <f>12*70</f>
        <v>840</v>
      </c>
      <c r="D2220" s="22"/>
      <c r="E2220" s="25">
        <f t="shared" ref="E2220:E2224" si="367">E2219+1</f>
        <v>85</v>
      </c>
    </row>
    <row r="2221" ht="15.75" customHeight="1">
      <c r="A2221" s="62">
        <v>3030.0</v>
      </c>
      <c r="B2221" s="98" t="s">
        <v>117</v>
      </c>
      <c r="C2221" s="170">
        <f>20000*1.13</f>
        <v>22600</v>
      </c>
      <c r="D2221" s="22"/>
      <c r="E2221" s="25">
        <f t="shared" si="367"/>
        <v>86</v>
      </c>
    </row>
    <row r="2222" ht="15.75" customHeight="1">
      <c r="A2222" s="62">
        <v>4012.0</v>
      </c>
      <c r="B2222" s="98" t="s">
        <v>118</v>
      </c>
      <c r="C2222" s="170"/>
      <c r="D2222" s="22">
        <f>C2221/1.9</f>
        <v>11894.73684</v>
      </c>
      <c r="E2222" s="25">
        <f t="shared" si="367"/>
        <v>87</v>
      </c>
    </row>
    <row r="2223" ht="15.75" customHeight="1">
      <c r="A2223" s="62">
        <v>4013.0</v>
      </c>
      <c r="B2223" s="98" t="s">
        <v>98</v>
      </c>
      <c r="C2223" s="170"/>
      <c r="D2223" s="22">
        <f>31*100</f>
        <v>3100</v>
      </c>
      <c r="E2223" s="25">
        <f t="shared" si="367"/>
        <v>88</v>
      </c>
    </row>
    <row r="2224" ht="15.75" customHeight="1">
      <c r="A2224" s="108">
        <v>4078.0</v>
      </c>
      <c r="B2224" s="109" t="s">
        <v>30</v>
      </c>
      <c r="C2224" s="175"/>
      <c r="D2224" s="29">
        <v>1500.0</v>
      </c>
      <c r="E2224" s="25">
        <f t="shared" si="367"/>
        <v>89</v>
      </c>
    </row>
    <row r="2225" ht="15.75" customHeight="1">
      <c r="A2225" s="62"/>
      <c r="B2225" s="106" t="s">
        <v>19</v>
      </c>
      <c r="C2225" s="175">
        <f>SUM(C2218:C2222)</f>
        <v>44440</v>
      </c>
      <c r="D2225" s="32">
        <f>SUM(D2218:D2224)</f>
        <v>16494.73684</v>
      </c>
      <c r="E2225" s="25"/>
    </row>
    <row r="2226" ht="15.75" customHeight="1">
      <c r="A2226" s="101"/>
      <c r="B2226" s="136" t="s">
        <v>20</v>
      </c>
      <c r="C2226" s="175"/>
      <c r="D2226" s="32">
        <f>C2225-D2225</f>
        <v>27945.26316</v>
      </c>
      <c r="E2226" s="40"/>
    </row>
    <row r="2227" ht="15.75" customHeight="1">
      <c r="A2227" s="140">
        <v>192337.0</v>
      </c>
      <c r="B2227" s="132" t="s">
        <v>417</v>
      </c>
      <c r="C2227" s="351"/>
      <c r="D2227" s="13"/>
      <c r="E2227" s="37"/>
    </row>
    <row r="2228" ht="15.75" customHeight="1">
      <c r="A2228" s="62">
        <v>3011.0</v>
      </c>
      <c r="B2228" s="98" t="s">
        <v>22</v>
      </c>
      <c r="C2228" s="258">
        <f>70*350</f>
        <v>24500</v>
      </c>
      <c r="D2228" s="32"/>
      <c r="E2228" s="25">
        <f>E2224+1</f>
        <v>90</v>
      </c>
    </row>
    <row r="2229" ht="15.75" customHeight="1">
      <c r="A2229" s="62">
        <v>3030.0</v>
      </c>
      <c r="B2229" s="98" t="s">
        <v>117</v>
      </c>
      <c r="C2229" s="352">
        <f>25000*1.13</f>
        <v>28250</v>
      </c>
      <c r="D2229" s="32"/>
      <c r="E2229" s="25">
        <f t="shared" ref="E2229:E2232" si="368">E2228+1</f>
        <v>91</v>
      </c>
    </row>
    <row r="2230" ht="15.75" customHeight="1">
      <c r="A2230" s="62">
        <v>4012.0</v>
      </c>
      <c r="B2230" s="98" t="s">
        <v>118</v>
      </c>
      <c r="C2230" s="258"/>
      <c r="D2230" s="32">
        <f>C2229/1.9</f>
        <v>14868.42105</v>
      </c>
      <c r="E2230" s="25">
        <f t="shared" si="368"/>
        <v>92</v>
      </c>
    </row>
    <row r="2231" ht="15.75" customHeight="1">
      <c r="A2231" s="62">
        <v>4013.0</v>
      </c>
      <c r="B2231" s="98" t="s">
        <v>98</v>
      </c>
      <c r="C2231" s="258"/>
      <c r="D2231" s="32">
        <f>40*31</f>
        <v>1240</v>
      </c>
      <c r="E2231" s="25">
        <f t="shared" si="368"/>
        <v>93</v>
      </c>
    </row>
    <row r="2232" ht="15.75" customHeight="1">
      <c r="A2232" s="62">
        <v>4078.0</v>
      </c>
      <c r="B2232" s="353" t="s">
        <v>30</v>
      </c>
      <c r="C2232" s="258"/>
      <c r="D2232" s="354">
        <v>1500.0</v>
      </c>
      <c r="E2232" s="25">
        <f t="shared" si="368"/>
        <v>94</v>
      </c>
    </row>
    <row r="2233" ht="15.75" customHeight="1">
      <c r="A2233" s="101"/>
      <c r="B2233" s="106" t="s">
        <v>19</v>
      </c>
      <c r="C2233" s="258">
        <f>SUM(C2228:C2232)</f>
        <v>52750</v>
      </c>
      <c r="D2233" s="32">
        <f>SUM(D2230:D2232)</f>
        <v>17608.42105</v>
      </c>
      <c r="E2233" s="40"/>
    </row>
    <row r="2234" ht="15.75" customHeight="1">
      <c r="A2234" s="101"/>
      <c r="B2234" s="136" t="s">
        <v>20</v>
      </c>
      <c r="C2234" s="258"/>
      <c r="D2234" s="32">
        <f>C2233-D2233</f>
        <v>35141.57895</v>
      </c>
      <c r="E2234" s="40"/>
    </row>
    <row r="2235" ht="15.75" customHeight="1">
      <c r="A2235" s="97">
        <v>192308.0</v>
      </c>
      <c r="B2235" s="355" t="s">
        <v>418</v>
      </c>
      <c r="C2235" s="75"/>
      <c r="D2235" s="76"/>
      <c r="E2235" s="177"/>
    </row>
    <row r="2236" ht="15.75" customHeight="1">
      <c r="A2236" s="62">
        <v>3011.0</v>
      </c>
      <c r="B2236" s="98" t="s">
        <v>22</v>
      </c>
      <c r="C2236" s="39">
        <f>200*350</f>
        <v>70000</v>
      </c>
      <c r="D2236" s="22"/>
      <c r="E2236" s="25">
        <f>E2223+1</f>
        <v>89</v>
      </c>
    </row>
    <row r="2237" ht="15.75" customHeight="1">
      <c r="A2237" s="108">
        <v>3030.0</v>
      </c>
      <c r="B2237" s="127" t="s">
        <v>117</v>
      </c>
      <c r="C2237" s="68">
        <f>15000*1.13</f>
        <v>16950</v>
      </c>
      <c r="D2237" s="22"/>
      <c r="E2237" s="25">
        <f t="shared" ref="E2237:E2243" si="369">E2236+1</f>
        <v>90</v>
      </c>
    </row>
    <row r="2238" ht="15.75" customHeight="1">
      <c r="A2238" s="62">
        <v>4010.0</v>
      </c>
      <c r="B2238" s="98" t="s">
        <v>48</v>
      </c>
      <c r="C2238" s="39"/>
      <c r="D2238" s="22">
        <v>3000.0</v>
      </c>
      <c r="E2238" s="25">
        <f t="shared" si="369"/>
        <v>91</v>
      </c>
    </row>
    <row r="2239" ht="15.75" customHeight="1">
      <c r="A2239" s="108">
        <v>4012.0</v>
      </c>
      <c r="B2239" s="127" t="s">
        <v>363</v>
      </c>
      <c r="C2239" s="39"/>
      <c r="D2239" s="22">
        <f>C2237/1.9</f>
        <v>8921.052632</v>
      </c>
      <c r="E2239" s="25">
        <f t="shared" si="369"/>
        <v>92</v>
      </c>
    </row>
    <row r="2240" ht="15.75" customHeight="1">
      <c r="A2240" s="62">
        <v>4013.0</v>
      </c>
      <c r="B2240" s="98" t="s">
        <v>98</v>
      </c>
      <c r="C2240" s="39"/>
      <c r="D2240" s="22">
        <f>32*100</f>
        <v>3200</v>
      </c>
      <c r="E2240" s="25">
        <f t="shared" si="369"/>
        <v>93</v>
      </c>
    </row>
    <row r="2241" ht="15.75" customHeight="1">
      <c r="A2241" s="62">
        <v>4076.0</v>
      </c>
      <c r="B2241" s="98" t="s">
        <v>29</v>
      </c>
      <c r="C2241" s="39"/>
      <c r="D2241" s="22">
        <v>8000.0</v>
      </c>
      <c r="E2241" s="25">
        <f t="shared" si="369"/>
        <v>94</v>
      </c>
    </row>
    <row r="2242" ht="15.75" customHeight="1">
      <c r="A2242" s="62">
        <v>5710.0</v>
      </c>
      <c r="B2242" s="98" t="s">
        <v>143</v>
      </c>
      <c r="C2242" s="39"/>
      <c r="D2242" s="29">
        <v>75000.0</v>
      </c>
      <c r="E2242" s="25">
        <f t="shared" si="369"/>
        <v>95</v>
      </c>
    </row>
    <row r="2243" ht="15.75" customHeight="1">
      <c r="A2243" s="62">
        <v>6993.0</v>
      </c>
      <c r="B2243" s="100" t="s">
        <v>115</v>
      </c>
      <c r="C2243" s="39"/>
      <c r="D2243" s="22">
        <f>200*12.25</f>
        <v>2450</v>
      </c>
      <c r="E2243" s="25">
        <f t="shared" si="369"/>
        <v>96</v>
      </c>
    </row>
    <row r="2244" ht="15.75" customHeight="1">
      <c r="A2244" s="62"/>
      <c r="B2244" s="106" t="s">
        <v>19</v>
      </c>
      <c r="C2244" s="31">
        <f t="shared" ref="C2244:D2244" si="370">SUM(C2236:C2243)</f>
        <v>86950</v>
      </c>
      <c r="D2244" s="32">
        <f t="shared" si="370"/>
        <v>100571.0526</v>
      </c>
      <c r="E2244" s="25"/>
    </row>
    <row r="2245" ht="15.75" customHeight="1">
      <c r="A2245" s="101"/>
      <c r="B2245" s="136" t="s">
        <v>20</v>
      </c>
      <c r="C2245" s="53"/>
      <c r="D2245" s="32">
        <f>C2244-D2244</f>
        <v>-13621.05263</v>
      </c>
      <c r="E2245" s="40"/>
    </row>
    <row r="2246" ht="15.75" customHeight="1">
      <c r="A2246" s="97">
        <v>192309.0</v>
      </c>
      <c r="B2246" s="355" t="s">
        <v>419</v>
      </c>
      <c r="C2246" s="75"/>
      <c r="D2246" s="76"/>
      <c r="E2246" s="177"/>
    </row>
    <row r="2247" ht="15.75" customHeight="1">
      <c r="A2247" s="62">
        <v>3011.0</v>
      </c>
      <c r="B2247" s="98" t="s">
        <v>22</v>
      </c>
      <c r="C2247" s="170">
        <f>239*300</f>
        <v>71700</v>
      </c>
      <c r="D2247" s="22"/>
      <c r="E2247" s="25">
        <f>E2243+1</f>
        <v>97</v>
      </c>
    </row>
    <row r="2248" ht="15.75" customHeight="1">
      <c r="A2248" s="62">
        <v>3014.0</v>
      </c>
      <c r="B2248" s="98" t="s">
        <v>55</v>
      </c>
      <c r="C2248" s="170">
        <f>24*300+11*300</f>
        <v>10500</v>
      </c>
      <c r="D2248" s="22"/>
      <c r="E2248" s="25">
        <f t="shared" ref="E2248:E2256" si="371">E2247+1</f>
        <v>98</v>
      </c>
    </row>
    <row r="2249" ht="15.75" customHeight="1">
      <c r="A2249" s="108">
        <v>3030.0</v>
      </c>
      <c r="B2249" s="127" t="s">
        <v>117</v>
      </c>
      <c r="C2249" s="168">
        <f>30000*1.13</f>
        <v>33900</v>
      </c>
      <c r="D2249" s="22"/>
      <c r="E2249" s="25">
        <f t="shared" si="371"/>
        <v>99</v>
      </c>
    </row>
    <row r="2250" ht="15.75" customHeight="1">
      <c r="A2250" s="108">
        <v>4012.0</v>
      </c>
      <c r="B2250" s="127" t="s">
        <v>118</v>
      </c>
      <c r="C2250" s="170"/>
      <c r="D2250" s="22">
        <f>C2249/1.9</f>
        <v>17842.10526</v>
      </c>
      <c r="E2250" s="25">
        <f t="shared" si="371"/>
        <v>100</v>
      </c>
    </row>
    <row r="2251" ht="15.75" customHeight="1">
      <c r="A2251" s="62">
        <v>4013.0</v>
      </c>
      <c r="B2251" s="98" t="s">
        <v>98</v>
      </c>
      <c r="C2251" s="170"/>
      <c r="D2251" s="22">
        <f>31*100</f>
        <v>3100</v>
      </c>
      <c r="E2251" s="25">
        <f t="shared" si="371"/>
        <v>101</v>
      </c>
    </row>
    <row r="2252" ht="15.75" customHeight="1">
      <c r="A2252" s="62">
        <v>4076.0</v>
      </c>
      <c r="B2252" s="98" t="s">
        <v>29</v>
      </c>
      <c r="C2252" s="170"/>
      <c r="D2252" s="22">
        <f>274*400</f>
        <v>109600</v>
      </c>
      <c r="E2252" s="25">
        <f t="shared" si="371"/>
        <v>102</v>
      </c>
    </row>
    <row r="2253" ht="15.75" customHeight="1">
      <c r="A2253" s="62">
        <v>4078.0</v>
      </c>
      <c r="B2253" s="98" t="s">
        <v>30</v>
      </c>
      <c r="C2253" s="170"/>
      <c r="D2253" s="22">
        <v>3000.0</v>
      </c>
      <c r="E2253" s="25">
        <f t="shared" si="371"/>
        <v>103</v>
      </c>
    </row>
    <row r="2254" ht="15.75" customHeight="1">
      <c r="A2254" s="62">
        <v>5060.0</v>
      </c>
      <c r="B2254" s="98" t="s">
        <v>113</v>
      </c>
      <c r="C2254" s="170"/>
      <c r="D2254" s="29">
        <v>5000.0</v>
      </c>
      <c r="E2254" s="25">
        <f t="shared" si="371"/>
        <v>104</v>
      </c>
    </row>
    <row r="2255" ht="15.75" customHeight="1">
      <c r="A2255" s="108">
        <v>6071.0</v>
      </c>
      <c r="B2255" s="104" t="s">
        <v>36</v>
      </c>
      <c r="C2255" s="170"/>
      <c r="D2255" s="22">
        <v>250.0</v>
      </c>
      <c r="E2255" s="25">
        <f t="shared" si="371"/>
        <v>105</v>
      </c>
    </row>
    <row r="2256" ht="15.75" customHeight="1">
      <c r="A2256" s="62">
        <v>6993.0</v>
      </c>
      <c r="B2256" s="100" t="s">
        <v>115</v>
      </c>
      <c r="C2256" s="170"/>
      <c r="D2256" s="22">
        <f>274*12.25</f>
        <v>3356.5</v>
      </c>
      <c r="E2256" s="25">
        <f t="shared" si="371"/>
        <v>106</v>
      </c>
    </row>
    <row r="2257" ht="15.75" customHeight="1">
      <c r="A2257" s="62"/>
      <c r="B2257" s="106" t="s">
        <v>19</v>
      </c>
      <c r="C2257" s="175">
        <f t="shared" ref="C2257:D2257" si="372">SUM(C2247:C2256)</f>
        <v>116100</v>
      </c>
      <c r="D2257" s="32">
        <f t="shared" si="372"/>
        <v>142148.6053</v>
      </c>
      <c r="E2257" s="25"/>
    </row>
    <row r="2258" ht="15.75" customHeight="1">
      <c r="A2258" s="101"/>
      <c r="B2258" s="136" t="s">
        <v>20</v>
      </c>
      <c r="C2258" s="258"/>
      <c r="D2258" s="32">
        <f>C2257-D2257</f>
        <v>-26048.60526</v>
      </c>
      <c r="E2258" s="40"/>
    </row>
    <row r="2259" ht="15.75" customHeight="1">
      <c r="A2259" s="97">
        <v>192335.0</v>
      </c>
      <c r="B2259" s="355" t="s">
        <v>420</v>
      </c>
      <c r="C2259" s="75"/>
      <c r="D2259" s="76"/>
      <c r="E2259" s="177"/>
    </row>
    <row r="2260" ht="15.75" hidden="1" customHeight="1">
      <c r="A2260" s="62">
        <v>3011.0</v>
      </c>
      <c r="B2260" s="98" t="s">
        <v>22</v>
      </c>
      <c r="C2260" s="68">
        <v>0.0</v>
      </c>
      <c r="D2260" s="22"/>
      <c r="E2260" s="25">
        <f>E2256+1</f>
        <v>107</v>
      </c>
    </row>
    <row r="2261" ht="15.75" hidden="1" customHeight="1">
      <c r="A2261" s="108">
        <v>3014.0</v>
      </c>
      <c r="B2261" s="127" t="s">
        <v>55</v>
      </c>
      <c r="C2261" s="68">
        <v>0.0</v>
      </c>
      <c r="D2261" s="22"/>
      <c r="E2261" s="25">
        <f t="shared" ref="E2261:E2267" si="373">E2260+1</f>
        <v>108</v>
      </c>
    </row>
    <row r="2262" ht="15.75" hidden="1" customHeight="1">
      <c r="A2262" s="108">
        <v>3030.0</v>
      </c>
      <c r="B2262" s="127" t="s">
        <v>241</v>
      </c>
      <c r="C2262" s="68">
        <v>0.0</v>
      </c>
      <c r="D2262" s="29"/>
      <c r="E2262" s="25">
        <f t="shared" si="373"/>
        <v>109</v>
      </c>
    </row>
    <row r="2263" ht="15.75" hidden="1" customHeight="1">
      <c r="A2263" s="108">
        <v>4012.0</v>
      </c>
      <c r="B2263" s="127" t="s">
        <v>356</v>
      </c>
      <c r="C2263" s="39"/>
      <c r="D2263" s="29">
        <v>0.0</v>
      </c>
      <c r="E2263" s="25">
        <f t="shared" si="373"/>
        <v>110</v>
      </c>
    </row>
    <row r="2264" ht="15.75" hidden="1" customHeight="1">
      <c r="A2264" s="62">
        <v>4013.0</v>
      </c>
      <c r="B2264" s="98" t="s">
        <v>98</v>
      </c>
      <c r="C2264" s="39"/>
      <c r="D2264" s="29">
        <v>0.0</v>
      </c>
      <c r="E2264" s="25">
        <f t="shared" si="373"/>
        <v>111</v>
      </c>
    </row>
    <row r="2265" ht="15.75" hidden="1" customHeight="1">
      <c r="A2265" s="62">
        <v>4076.0</v>
      </c>
      <c r="B2265" s="98" t="s">
        <v>29</v>
      </c>
      <c r="C2265" s="39"/>
      <c r="D2265" s="29">
        <v>0.0</v>
      </c>
      <c r="E2265" s="25">
        <f t="shared" si="373"/>
        <v>112</v>
      </c>
    </row>
    <row r="2266" ht="15.75" hidden="1" customHeight="1">
      <c r="A2266" s="62">
        <v>4078.0</v>
      </c>
      <c r="B2266" s="98" t="s">
        <v>30</v>
      </c>
      <c r="C2266" s="39"/>
      <c r="D2266" s="29">
        <v>0.0</v>
      </c>
      <c r="E2266" s="25">
        <f t="shared" si="373"/>
        <v>113</v>
      </c>
    </row>
    <row r="2267" ht="15.75" hidden="1" customHeight="1">
      <c r="A2267" s="62">
        <v>6993.0</v>
      </c>
      <c r="B2267" s="100" t="s">
        <v>115</v>
      </c>
      <c r="C2267" s="39"/>
      <c r="D2267" s="29">
        <v>0.0</v>
      </c>
      <c r="E2267" s="25">
        <f t="shared" si="373"/>
        <v>114</v>
      </c>
    </row>
    <row r="2268" ht="15.75" hidden="1" customHeight="1">
      <c r="A2268" s="62"/>
      <c r="B2268" s="106" t="s">
        <v>19</v>
      </c>
      <c r="C2268" s="31">
        <f t="shared" ref="C2268:D2268" si="374">SUM(C2260:C2267)</f>
        <v>0</v>
      </c>
      <c r="D2268" s="32">
        <f t="shared" si="374"/>
        <v>0</v>
      </c>
      <c r="E2268" s="25"/>
    </row>
    <row r="2269" ht="15.75" hidden="1" customHeight="1">
      <c r="A2269" s="101"/>
      <c r="B2269" s="136" t="s">
        <v>20</v>
      </c>
      <c r="C2269" s="53"/>
      <c r="D2269" s="32">
        <f>C2268-D2268</f>
        <v>0</v>
      </c>
      <c r="E2269" s="40"/>
    </row>
    <row r="2270" ht="15.75" customHeight="1">
      <c r="A2270" s="97">
        <v>192310.0</v>
      </c>
      <c r="B2270" s="176" t="s">
        <v>421</v>
      </c>
      <c r="C2270" s="75"/>
      <c r="D2270" s="76"/>
      <c r="E2270" s="177"/>
    </row>
    <row r="2271" ht="15.75" customHeight="1">
      <c r="A2271" s="62">
        <v>3011.0</v>
      </c>
      <c r="B2271" s="98" t="s">
        <v>22</v>
      </c>
      <c r="C2271" s="39">
        <v>0.0</v>
      </c>
      <c r="D2271" s="22"/>
      <c r="E2271" s="25">
        <f>E2256+1</f>
        <v>107</v>
      </c>
    </row>
    <row r="2272" ht="15.75" customHeight="1">
      <c r="A2272" s="101">
        <v>3030.0</v>
      </c>
      <c r="B2272" s="98" t="s">
        <v>117</v>
      </c>
      <c r="C2272" s="39">
        <v>0.0</v>
      </c>
      <c r="D2272" s="22"/>
      <c r="E2272" s="40">
        <f t="shared" ref="E2272:E2275" si="375">E2271+1</f>
        <v>108</v>
      </c>
    </row>
    <row r="2273" ht="15.75" customHeight="1">
      <c r="A2273" s="62">
        <v>4013.0</v>
      </c>
      <c r="B2273" s="98" t="s">
        <v>98</v>
      </c>
      <c r="C2273" s="39"/>
      <c r="D2273" s="22">
        <v>0.0</v>
      </c>
      <c r="E2273" s="25">
        <f t="shared" si="375"/>
        <v>109</v>
      </c>
    </row>
    <row r="2274" ht="15.75" customHeight="1">
      <c r="A2274" s="101">
        <v>4012.0</v>
      </c>
      <c r="B2274" s="98" t="s">
        <v>118</v>
      </c>
      <c r="C2274" s="39"/>
      <c r="D2274" s="22">
        <f>C2272/1.9</f>
        <v>0</v>
      </c>
      <c r="E2274" s="40">
        <f t="shared" si="375"/>
        <v>110</v>
      </c>
    </row>
    <row r="2275" ht="15.75" customHeight="1">
      <c r="A2275" s="62">
        <v>4078.0</v>
      </c>
      <c r="B2275" s="98" t="s">
        <v>30</v>
      </c>
      <c r="C2275" s="39"/>
      <c r="D2275" s="22">
        <v>0.0</v>
      </c>
      <c r="E2275" s="25">
        <f t="shared" si="375"/>
        <v>111</v>
      </c>
    </row>
    <row r="2276" ht="15.75" customHeight="1">
      <c r="A2276" s="62"/>
      <c r="B2276" s="106" t="s">
        <v>19</v>
      </c>
      <c r="C2276" s="31">
        <f t="shared" ref="C2276:D2276" si="376">SUM(C2271:C2275)</f>
        <v>0</v>
      </c>
      <c r="D2276" s="32">
        <f t="shared" si="376"/>
        <v>0</v>
      </c>
      <c r="E2276" s="25"/>
    </row>
    <row r="2277" ht="15.75" customHeight="1">
      <c r="A2277" s="101"/>
      <c r="B2277" s="136" t="s">
        <v>20</v>
      </c>
      <c r="C2277" s="53"/>
      <c r="D2277" s="32">
        <f>C2276-D2276</f>
        <v>0</v>
      </c>
      <c r="E2277" s="40"/>
    </row>
    <row r="2278" ht="15.75" customHeight="1">
      <c r="A2278" s="97">
        <v>192311.0</v>
      </c>
      <c r="B2278" s="176" t="s">
        <v>422</v>
      </c>
      <c r="C2278" s="75"/>
      <c r="D2278" s="76"/>
      <c r="E2278" s="177"/>
    </row>
    <row r="2279" ht="15.75" customHeight="1">
      <c r="A2279" s="62">
        <v>3010.0</v>
      </c>
      <c r="B2279" s="98" t="s">
        <v>2</v>
      </c>
      <c r="C2279" s="39">
        <v>0.0</v>
      </c>
      <c r="D2279" s="22"/>
      <c r="E2279" s="25">
        <f>E2275+1</f>
        <v>112</v>
      </c>
    </row>
    <row r="2280" ht="15.75" customHeight="1">
      <c r="A2280" s="62">
        <v>3011.0</v>
      </c>
      <c r="B2280" s="98" t="s">
        <v>22</v>
      </c>
      <c r="C2280" s="39">
        <f>275*450+430*5+750*15</f>
        <v>137150</v>
      </c>
      <c r="D2280" s="22"/>
      <c r="E2280" s="25">
        <f t="shared" ref="E2280:E2292" si="377">E2279+1</f>
        <v>113</v>
      </c>
    </row>
    <row r="2281" ht="15.75" customHeight="1">
      <c r="A2281" s="62">
        <v>3014.0</v>
      </c>
      <c r="B2281" s="98" t="s">
        <v>55</v>
      </c>
      <c r="C2281" s="39">
        <f>(22+25)*450</f>
        <v>21150</v>
      </c>
      <c r="D2281" s="22"/>
      <c r="E2281" s="25">
        <f t="shared" si="377"/>
        <v>114</v>
      </c>
    </row>
    <row r="2282" ht="15.75" customHeight="1">
      <c r="A2282" s="62">
        <v>3030.0</v>
      </c>
      <c r="B2282" s="98" t="s">
        <v>117</v>
      </c>
      <c r="C2282" s="39">
        <f>35000*1.13</f>
        <v>39550</v>
      </c>
      <c r="D2282" s="22"/>
      <c r="E2282" s="25">
        <f t="shared" si="377"/>
        <v>115</v>
      </c>
    </row>
    <row r="2283" ht="15.75" customHeight="1">
      <c r="A2283" s="62">
        <v>4012.0</v>
      </c>
      <c r="B2283" s="98" t="s">
        <v>118</v>
      </c>
      <c r="C2283" s="39"/>
      <c r="D2283" s="22">
        <f>C2282/1.9</f>
        <v>20815.78947</v>
      </c>
      <c r="E2283" s="25">
        <f t="shared" si="377"/>
        <v>116</v>
      </c>
    </row>
    <row r="2284" ht="15.75" customHeight="1">
      <c r="A2284" s="62">
        <v>4013.0</v>
      </c>
      <c r="B2284" s="98" t="s">
        <v>98</v>
      </c>
      <c r="C2284" s="39"/>
      <c r="D2284" s="22">
        <f>140*32</f>
        <v>4480</v>
      </c>
      <c r="E2284" s="25">
        <f t="shared" si="377"/>
        <v>117</v>
      </c>
    </row>
    <row r="2285" ht="15.75" customHeight="1">
      <c r="A2285" s="62">
        <v>4076.0</v>
      </c>
      <c r="B2285" s="98" t="s">
        <v>29</v>
      </c>
      <c r="C2285" s="39"/>
      <c r="D2285" s="22">
        <f>337*370</f>
        <v>124690</v>
      </c>
      <c r="E2285" s="25">
        <f t="shared" si="377"/>
        <v>118</v>
      </c>
    </row>
    <row r="2286" ht="15.75" customHeight="1">
      <c r="A2286" s="62">
        <v>4078.0</v>
      </c>
      <c r="B2286" s="98" t="s">
        <v>30</v>
      </c>
      <c r="C2286" s="39"/>
      <c r="D2286" s="22">
        <v>10500.0</v>
      </c>
      <c r="E2286" s="25">
        <f t="shared" si="377"/>
        <v>119</v>
      </c>
    </row>
    <row r="2287" ht="15.75" customHeight="1">
      <c r="A2287" s="62">
        <v>5060.0</v>
      </c>
      <c r="B2287" s="98" t="s">
        <v>113</v>
      </c>
      <c r="C2287" s="39"/>
      <c r="D2287" s="29">
        <v>5000.0</v>
      </c>
      <c r="E2287" s="25">
        <f t="shared" si="377"/>
        <v>120</v>
      </c>
    </row>
    <row r="2288" ht="15.75" customHeight="1">
      <c r="A2288" s="62">
        <v>5460.0</v>
      </c>
      <c r="B2288" s="98" t="s">
        <v>50</v>
      </c>
      <c r="C2288" s="39"/>
      <c r="D2288" s="22">
        <v>22095.0</v>
      </c>
      <c r="E2288" s="25">
        <f t="shared" si="377"/>
        <v>121</v>
      </c>
    </row>
    <row r="2289" ht="15.75" customHeight="1">
      <c r="A2289" s="62">
        <v>5461.0</v>
      </c>
      <c r="B2289" s="98" t="s">
        <v>84</v>
      </c>
      <c r="C2289" s="39"/>
      <c r="D2289" s="22">
        <v>30000.0</v>
      </c>
      <c r="E2289" s="25">
        <f t="shared" si="377"/>
        <v>122</v>
      </c>
    </row>
    <row r="2290" ht="15.75" customHeight="1">
      <c r="A2290" s="62">
        <v>6071.0</v>
      </c>
      <c r="B2290" s="98" t="s">
        <v>36</v>
      </c>
      <c r="C2290" s="39"/>
      <c r="D2290" s="22">
        <f>C2281</f>
        <v>21150</v>
      </c>
      <c r="E2290" s="25">
        <f t="shared" si="377"/>
        <v>123</v>
      </c>
    </row>
    <row r="2291" ht="15.75" customHeight="1">
      <c r="A2291" s="62">
        <v>6991.0</v>
      </c>
      <c r="B2291" s="127" t="s">
        <v>76</v>
      </c>
      <c r="C2291" s="39"/>
      <c r="D2291" s="22">
        <v>600.0</v>
      </c>
      <c r="E2291" s="25">
        <f t="shared" si="377"/>
        <v>124</v>
      </c>
    </row>
    <row r="2292" ht="15.75" customHeight="1">
      <c r="A2292" s="62">
        <v>6993.0</v>
      </c>
      <c r="B2292" s="98" t="s">
        <v>115</v>
      </c>
      <c r="C2292" s="39"/>
      <c r="D2292" s="22">
        <f>336*12.5</f>
        <v>4200</v>
      </c>
      <c r="E2292" s="25">
        <f t="shared" si="377"/>
        <v>125</v>
      </c>
    </row>
    <row r="2293" ht="15.75" customHeight="1">
      <c r="A2293" s="62"/>
      <c r="B2293" s="106" t="s">
        <v>19</v>
      </c>
      <c r="C2293" s="31">
        <f t="shared" ref="C2293:D2293" si="378">SUM(C2279:C2292)</f>
        <v>197850</v>
      </c>
      <c r="D2293" s="32">
        <f t="shared" si="378"/>
        <v>243530.7895</v>
      </c>
      <c r="E2293" s="25"/>
    </row>
    <row r="2294" ht="15.75" customHeight="1">
      <c r="A2294" s="101"/>
      <c r="B2294" s="136" t="s">
        <v>20</v>
      </c>
      <c r="C2294" s="53"/>
      <c r="D2294" s="32">
        <f>C2293-D2293</f>
        <v>-45680.78947</v>
      </c>
      <c r="E2294" s="40"/>
    </row>
    <row r="2295" ht="15.75" customHeight="1">
      <c r="A2295" s="97">
        <v>192312.0</v>
      </c>
      <c r="B2295" s="176" t="s">
        <v>423</v>
      </c>
      <c r="C2295" s="75"/>
      <c r="D2295" s="76"/>
      <c r="E2295" s="177"/>
    </row>
    <row r="2296" ht="15.75" customHeight="1">
      <c r="A2296" s="62">
        <v>3030.0</v>
      </c>
      <c r="B2296" s="98" t="s">
        <v>117</v>
      </c>
      <c r="C2296" s="68">
        <f>10000*1.13</f>
        <v>11300</v>
      </c>
      <c r="D2296" s="22"/>
      <c r="E2296" s="25">
        <f>E2292+1</f>
        <v>126</v>
      </c>
    </row>
    <row r="2297" ht="15.75" customHeight="1">
      <c r="A2297" s="62">
        <v>3011.0</v>
      </c>
      <c r="B2297" s="98" t="s">
        <v>22</v>
      </c>
      <c r="C2297" s="68">
        <v>2000.0</v>
      </c>
      <c r="D2297" s="22"/>
      <c r="E2297" s="25">
        <f t="shared" ref="E2297:E2302" si="379">E2296+1</f>
        <v>127</v>
      </c>
    </row>
    <row r="2298" ht="15.75" customHeight="1">
      <c r="A2298" s="108">
        <v>3014.0</v>
      </c>
      <c r="B2298" s="127" t="s">
        <v>55</v>
      </c>
      <c r="C2298" s="39">
        <f>100*10</f>
        <v>1000</v>
      </c>
      <c r="D2298" s="22"/>
      <c r="E2298" s="40">
        <f t="shared" si="379"/>
        <v>128</v>
      </c>
    </row>
    <row r="2299" ht="15.75" customHeight="1">
      <c r="A2299" s="62">
        <v>4012.0</v>
      </c>
      <c r="B2299" s="98" t="s">
        <v>118</v>
      </c>
      <c r="C2299" s="39"/>
      <c r="D2299" s="22">
        <f>C2296/1.9</f>
        <v>5947.368421</v>
      </c>
      <c r="E2299" s="40">
        <f t="shared" si="379"/>
        <v>129</v>
      </c>
    </row>
    <row r="2300" ht="15.75" customHeight="1">
      <c r="A2300" s="62">
        <v>4013.0</v>
      </c>
      <c r="B2300" s="98" t="s">
        <v>98</v>
      </c>
      <c r="C2300" s="39"/>
      <c r="D2300" s="22">
        <f>15*40</f>
        <v>600</v>
      </c>
      <c r="E2300" s="25">
        <f t="shared" si="379"/>
        <v>130</v>
      </c>
    </row>
    <row r="2301" ht="15.75" customHeight="1">
      <c r="A2301" s="62">
        <v>4076.0</v>
      </c>
      <c r="B2301" s="98" t="s">
        <v>29</v>
      </c>
      <c r="C2301" s="39"/>
      <c r="D2301" s="29">
        <f>75*20</f>
        <v>1500</v>
      </c>
      <c r="E2301" s="25">
        <f t="shared" si="379"/>
        <v>131</v>
      </c>
    </row>
    <row r="2302" ht="15.75" customHeight="1">
      <c r="A2302" s="108">
        <v>6993.0</v>
      </c>
      <c r="B2302" s="127" t="s">
        <v>115</v>
      </c>
      <c r="C2302" s="39"/>
      <c r="D2302" s="22">
        <f>20*12.25</f>
        <v>245</v>
      </c>
      <c r="E2302" s="25">
        <f t="shared" si="379"/>
        <v>132</v>
      </c>
    </row>
    <row r="2303" ht="15.75" customHeight="1">
      <c r="A2303" s="62"/>
      <c r="B2303" s="106" t="s">
        <v>19</v>
      </c>
      <c r="C2303" s="31">
        <f t="shared" ref="C2303:D2303" si="380">SUM(C2296:C2302)</f>
        <v>14300</v>
      </c>
      <c r="D2303" s="32">
        <f t="shared" si="380"/>
        <v>8292.368421</v>
      </c>
      <c r="E2303" s="25"/>
    </row>
    <row r="2304" ht="15.75" customHeight="1">
      <c r="A2304" s="101"/>
      <c r="B2304" s="136" t="s">
        <v>20</v>
      </c>
      <c r="C2304" s="53"/>
      <c r="D2304" s="32">
        <f>C2303-D2303</f>
        <v>6007.631579</v>
      </c>
      <c r="E2304" s="40"/>
    </row>
    <row r="2305" ht="15.75" customHeight="1">
      <c r="A2305" s="97">
        <v>192313.0</v>
      </c>
      <c r="B2305" s="176" t="s">
        <v>424</v>
      </c>
      <c r="C2305" s="75"/>
      <c r="D2305" s="76"/>
      <c r="E2305" s="177"/>
    </row>
    <row r="2306" ht="15.75" customHeight="1">
      <c r="A2306" s="62">
        <v>3011.0</v>
      </c>
      <c r="B2306" s="98" t="s">
        <v>22</v>
      </c>
      <c r="C2306" s="39">
        <f>398*100</f>
        <v>39800</v>
      </c>
      <c r="D2306" s="22"/>
      <c r="E2306" s="25">
        <f>E2302+1</f>
        <v>133</v>
      </c>
    </row>
    <row r="2307" ht="15.75" customHeight="1">
      <c r="A2307" s="62">
        <v>3011.0</v>
      </c>
      <c r="B2307" s="98" t="s">
        <v>22</v>
      </c>
      <c r="C2307" s="39">
        <v>0.0</v>
      </c>
      <c r="D2307" s="22"/>
      <c r="E2307" s="25">
        <f t="shared" ref="E2307:E2317" si="381">E2306+1</f>
        <v>134</v>
      </c>
    </row>
    <row r="2308" ht="15.75" customHeight="1">
      <c r="A2308" s="62">
        <v>3030.0</v>
      </c>
      <c r="B2308" s="98" t="s">
        <v>117</v>
      </c>
      <c r="C2308" s="68">
        <f>45000*1.13</f>
        <v>50850</v>
      </c>
      <c r="D2308" s="22"/>
      <c r="E2308" s="25">
        <f t="shared" si="381"/>
        <v>135</v>
      </c>
    </row>
    <row r="2309" ht="15.75" customHeight="1">
      <c r="A2309" s="62">
        <v>4012.0</v>
      </c>
      <c r="B2309" s="98" t="s">
        <v>118</v>
      </c>
      <c r="C2309" s="39"/>
      <c r="D2309" s="22">
        <f>C2308/1.9</f>
        <v>26763.15789</v>
      </c>
      <c r="E2309" s="25">
        <f t="shared" si="381"/>
        <v>136</v>
      </c>
    </row>
    <row r="2310" ht="15.75" customHeight="1">
      <c r="A2310" s="62">
        <v>4013.0</v>
      </c>
      <c r="B2310" s="98" t="s">
        <v>98</v>
      </c>
      <c r="C2310" s="39"/>
      <c r="D2310" s="22">
        <f>31*100</f>
        <v>3100</v>
      </c>
      <c r="E2310" s="25">
        <f t="shared" si="381"/>
        <v>137</v>
      </c>
    </row>
    <row r="2311" ht="15.75" customHeight="1">
      <c r="A2311" s="62">
        <v>4076.0</v>
      </c>
      <c r="B2311" s="98" t="s">
        <v>29</v>
      </c>
      <c r="C2311" s="39"/>
      <c r="D2311" s="22">
        <v>0.0</v>
      </c>
      <c r="E2311" s="25">
        <f t="shared" si="381"/>
        <v>138</v>
      </c>
    </row>
    <row r="2312" ht="15.75" customHeight="1">
      <c r="A2312" s="62">
        <v>4077.0</v>
      </c>
      <c r="B2312" s="98" t="s">
        <v>328</v>
      </c>
      <c r="C2312" s="39"/>
      <c r="D2312" s="22">
        <v>0.0</v>
      </c>
      <c r="E2312" s="25">
        <f t="shared" si="381"/>
        <v>139</v>
      </c>
    </row>
    <row r="2313" ht="15.75" customHeight="1">
      <c r="A2313" s="101">
        <v>4078.0</v>
      </c>
      <c r="B2313" s="102" t="s">
        <v>30</v>
      </c>
      <c r="C2313" s="39"/>
      <c r="D2313" s="22">
        <v>2500.0</v>
      </c>
      <c r="E2313" s="25">
        <f t="shared" si="381"/>
        <v>140</v>
      </c>
    </row>
    <row r="2314" ht="15.75" customHeight="1">
      <c r="A2314" s="62">
        <v>5461.0</v>
      </c>
      <c r="B2314" s="98" t="s">
        <v>84</v>
      </c>
      <c r="C2314" s="39"/>
      <c r="D2314" s="22">
        <v>0.0</v>
      </c>
      <c r="E2314" s="25">
        <f t="shared" si="381"/>
        <v>141</v>
      </c>
    </row>
    <row r="2315" ht="15.75" customHeight="1">
      <c r="A2315" s="62">
        <v>5710.0</v>
      </c>
      <c r="B2315" s="98" t="s">
        <v>143</v>
      </c>
      <c r="C2315" s="39"/>
      <c r="D2315" s="22">
        <v>14900.0</v>
      </c>
      <c r="E2315" s="25">
        <f t="shared" si="381"/>
        <v>142</v>
      </c>
    </row>
    <row r="2316" ht="15.75" customHeight="1">
      <c r="A2316" s="62">
        <v>6991.0</v>
      </c>
      <c r="B2316" s="127" t="s">
        <v>76</v>
      </c>
      <c r="C2316" s="39"/>
      <c r="D2316" s="22">
        <v>600.0</v>
      </c>
      <c r="E2316" s="25">
        <f t="shared" si="381"/>
        <v>143</v>
      </c>
    </row>
    <row r="2317" ht="15.75" customHeight="1">
      <c r="A2317" s="108">
        <v>6993.0</v>
      </c>
      <c r="B2317" s="109" t="s">
        <v>115</v>
      </c>
      <c r="C2317" s="31"/>
      <c r="D2317" s="22">
        <f>398*6.25</f>
        <v>2487.5</v>
      </c>
      <c r="E2317" s="25">
        <f t="shared" si="381"/>
        <v>144</v>
      </c>
    </row>
    <row r="2318" ht="15.75" customHeight="1">
      <c r="A2318" s="62"/>
      <c r="B2318" s="106" t="s">
        <v>19</v>
      </c>
      <c r="C2318" s="31">
        <f t="shared" ref="C2318:D2318" si="382">SUM(C2306:C2317)</f>
        <v>90650</v>
      </c>
      <c r="D2318" s="32">
        <f t="shared" si="382"/>
        <v>50350.65789</v>
      </c>
      <c r="E2318" s="25"/>
    </row>
    <row r="2319" ht="15.75" customHeight="1">
      <c r="A2319" s="101"/>
      <c r="B2319" s="136" t="s">
        <v>20</v>
      </c>
      <c r="C2319" s="53"/>
      <c r="D2319" s="32">
        <f>C2318-D2318</f>
        <v>40299.34211</v>
      </c>
      <c r="E2319" s="40"/>
    </row>
    <row r="2320" ht="15.75" customHeight="1">
      <c r="A2320" s="97">
        <v>192314.0</v>
      </c>
      <c r="B2320" s="208" t="s">
        <v>425</v>
      </c>
      <c r="C2320" s="75"/>
      <c r="D2320" s="76"/>
      <c r="E2320" s="177"/>
    </row>
    <row r="2321" ht="15.75" customHeight="1">
      <c r="A2321" s="101">
        <v>3011.0</v>
      </c>
      <c r="B2321" s="102" t="s">
        <v>22</v>
      </c>
      <c r="C2321" s="39">
        <f>200*70+100*90</f>
        <v>23000</v>
      </c>
      <c r="D2321" s="22"/>
      <c r="E2321" s="25">
        <f>E2316+1</f>
        <v>144</v>
      </c>
    </row>
    <row r="2322" ht="15.75" customHeight="1">
      <c r="A2322" s="101">
        <v>3030.0</v>
      </c>
      <c r="B2322" s="102" t="s">
        <v>117</v>
      </c>
      <c r="C2322" s="39">
        <f>50000*1.13</f>
        <v>56500</v>
      </c>
      <c r="D2322" s="22"/>
      <c r="E2322" s="25">
        <f t="shared" ref="E2322:E2325" si="383">E2321+1</f>
        <v>145</v>
      </c>
    </row>
    <row r="2323" ht="15.75" customHeight="1">
      <c r="A2323" s="101">
        <v>4012.0</v>
      </c>
      <c r="B2323" s="102" t="s">
        <v>118</v>
      </c>
      <c r="C2323" s="39"/>
      <c r="D2323" s="22">
        <f>C2322/1.9</f>
        <v>29736.84211</v>
      </c>
      <c r="E2323" s="25">
        <f t="shared" si="383"/>
        <v>146</v>
      </c>
    </row>
    <row r="2324" ht="15.75" customHeight="1">
      <c r="A2324" s="101">
        <v>4013.0</v>
      </c>
      <c r="B2324" s="102" t="s">
        <v>98</v>
      </c>
      <c r="C2324" s="39"/>
      <c r="D2324" s="22">
        <f>32*100</f>
        <v>3200</v>
      </c>
      <c r="E2324" s="25">
        <f t="shared" si="383"/>
        <v>147</v>
      </c>
    </row>
    <row r="2325" ht="15.75" customHeight="1">
      <c r="A2325" s="101">
        <v>4078.0</v>
      </c>
      <c r="B2325" s="102" t="s">
        <v>30</v>
      </c>
      <c r="C2325" s="39"/>
      <c r="D2325" s="22">
        <v>3000.0</v>
      </c>
      <c r="E2325" s="25">
        <f t="shared" si="383"/>
        <v>148</v>
      </c>
    </row>
    <row r="2326" ht="15.75" customHeight="1">
      <c r="A2326" s="19">
        <v>5010.0</v>
      </c>
      <c r="B2326" s="174" t="s">
        <v>61</v>
      </c>
      <c r="C2326" s="39"/>
      <c r="D2326" s="22"/>
      <c r="E2326" s="25"/>
    </row>
    <row r="2327" ht="15.75" customHeight="1">
      <c r="A2327" s="122">
        <v>6993.0</v>
      </c>
      <c r="B2327" s="104" t="s">
        <v>115</v>
      </c>
      <c r="C2327" s="39"/>
      <c r="D2327" s="22">
        <f>300*6.25</f>
        <v>1875</v>
      </c>
      <c r="E2327" s="25">
        <f>E2325+1</f>
        <v>149</v>
      </c>
    </row>
    <row r="2328" ht="15.75" customHeight="1">
      <c r="A2328" s="101"/>
      <c r="B2328" s="106" t="s">
        <v>19</v>
      </c>
      <c r="C2328" s="31">
        <f t="shared" ref="C2328:D2328" si="384">SUM(C2321:C2327)</f>
        <v>79500</v>
      </c>
      <c r="D2328" s="32">
        <f t="shared" si="384"/>
        <v>37811.84211</v>
      </c>
      <c r="E2328" s="25"/>
    </row>
    <row r="2329" ht="15.75" customHeight="1">
      <c r="A2329" s="101"/>
      <c r="B2329" s="136" t="s">
        <v>20</v>
      </c>
      <c r="C2329" s="53"/>
      <c r="D2329" s="32">
        <f>C2328-D2328</f>
        <v>41688.15789</v>
      </c>
      <c r="E2329" s="40"/>
    </row>
    <row r="2330" ht="15.75" customHeight="1">
      <c r="A2330" s="356">
        <v>192315.0</v>
      </c>
      <c r="B2330" s="203" t="s">
        <v>426</v>
      </c>
      <c r="C2330" s="75"/>
      <c r="D2330" s="76"/>
      <c r="E2330" s="86"/>
    </row>
    <row r="2331" ht="15.75" customHeight="1">
      <c r="A2331" s="99">
        <v>3011.0</v>
      </c>
      <c r="B2331" s="100" t="s">
        <v>22</v>
      </c>
      <c r="C2331" s="39">
        <f>200*70+200*90</f>
        <v>32000</v>
      </c>
      <c r="D2331" s="22"/>
      <c r="E2331" s="25">
        <f>E2327+1</f>
        <v>150</v>
      </c>
    </row>
    <row r="2332" ht="15.75" customHeight="1">
      <c r="A2332" s="101">
        <v>3030.0</v>
      </c>
      <c r="B2332" s="102" t="s">
        <v>117</v>
      </c>
      <c r="C2332" s="39">
        <f>40000*1.13</f>
        <v>45200</v>
      </c>
      <c r="D2332" s="22"/>
      <c r="E2332" s="25">
        <f t="shared" ref="E2332:E2337" si="385">E2331+1</f>
        <v>151</v>
      </c>
    </row>
    <row r="2333" ht="15.75" customHeight="1">
      <c r="A2333" s="101">
        <v>4012.0</v>
      </c>
      <c r="B2333" s="102" t="s">
        <v>118</v>
      </c>
      <c r="C2333" s="39"/>
      <c r="D2333" s="22">
        <f>C2332/1.9</f>
        <v>23789.47368</v>
      </c>
      <c r="E2333" s="25">
        <f t="shared" si="385"/>
        <v>152</v>
      </c>
    </row>
    <row r="2334" ht="15.75" customHeight="1">
      <c r="A2334" s="99">
        <v>4013.0</v>
      </c>
      <c r="B2334" s="100" t="s">
        <v>98</v>
      </c>
      <c r="C2334" s="39"/>
      <c r="D2334" s="22">
        <f>32*100</f>
        <v>3200</v>
      </c>
      <c r="E2334" s="25">
        <f t="shared" si="385"/>
        <v>153</v>
      </c>
    </row>
    <row r="2335" ht="15.75" customHeight="1">
      <c r="A2335" s="99">
        <v>4077.0</v>
      </c>
      <c r="B2335" s="100" t="s">
        <v>328</v>
      </c>
      <c r="C2335" s="39"/>
      <c r="D2335" s="22">
        <v>0.0</v>
      </c>
      <c r="E2335" s="25">
        <f t="shared" si="385"/>
        <v>154</v>
      </c>
    </row>
    <row r="2336" ht="15.75" hidden="1" customHeight="1">
      <c r="A2336" s="99">
        <v>4078.0</v>
      </c>
      <c r="B2336" s="100" t="s">
        <v>30</v>
      </c>
      <c r="C2336" s="39"/>
      <c r="D2336" s="22">
        <v>3000.0</v>
      </c>
      <c r="E2336" s="25">
        <f t="shared" si="385"/>
        <v>155</v>
      </c>
    </row>
    <row r="2337" ht="15.75" customHeight="1">
      <c r="A2337" s="122">
        <v>6993.0</v>
      </c>
      <c r="B2337" s="104" t="s">
        <v>115</v>
      </c>
      <c r="C2337" s="39"/>
      <c r="D2337" s="22">
        <f>400*6.25</f>
        <v>2500</v>
      </c>
      <c r="E2337" s="25">
        <f t="shared" si="385"/>
        <v>156</v>
      </c>
    </row>
    <row r="2338" ht="15.75" customHeight="1">
      <c r="A2338" s="62"/>
      <c r="B2338" s="106" t="s">
        <v>19</v>
      </c>
      <c r="C2338" s="31">
        <f t="shared" ref="C2338:D2338" si="386">SUM(C2331:C2337)</f>
        <v>77200</v>
      </c>
      <c r="D2338" s="32">
        <f t="shared" si="386"/>
        <v>32489.47368</v>
      </c>
      <c r="E2338" s="25"/>
    </row>
    <row r="2339" ht="15.75" customHeight="1">
      <c r="A2339" s="101"/>
      <c r="B2339" s="136" t="s">
        <v>20</v>
      </c>
      <c r="C2339" s="53"/>
      <c r="D2339" s="32">
        <f>C2338-D2338</f>
        <v>44710.52632</v>
      </c>
      <c r="E2339" s="40"/>
    </row>
    <row r="2340" ht="15.75" customHeight="1">
      <c r="A2340" s="97">
        <v>192317.0</v>
      </c>
      <c r="B2340" s="176" t="s">
        <v>427</v>
      </c>
      <c r="C2340" s="75"/>
      <c r="D2340" s="76"/>
      <c r="E2340" s="177"/>
    </row>
    <row r="2341" ht="15.75" hidden="1" customHeight="1">
      <c r="A2341" s="62">
        <v>3011.0</v>
      </c>
      <c r="B2341" s="98" t="s">
        <v>22</v>
      </c>
      <c r="C2341" s="39">
        <v>0.0</v>
      </c>
      <c r="D2341" s="22"/>
      <c r="E2341" s="25">
        <f>E2336+1</f>
        <v>156</v>
      </c>
    </row>
    <row r="2342" ht="15.75" hidden="1" customHeight="1">
      <c r="A2342" s="99">
        <v>3030.0</v>
      </c>
      <c r="B2342" s="100" t="s">
        <v>117</v>
      </c>
      <c r="C2342" s="39">
        <v>0.0</v>
      </c>
      <c r="D2342" s="22"/>
      <c r="E2342" s="25">
        <f t="shared" ref="E2342:E2347" si="387">E2341+1</f>
        <v>157</v>
      </c>
    </row>
    <row r="2343" ht="15.75" hidden="1" customHeight="1">
      <c r="A2343" s="62">
        <v>4010.0</v>
      </c>
      <c r="B2343" s="98" t="s">
        <v>48</v>
      </c>
      <c r="C2343" s="39"/>
      <c r="D2343" s="22">
        <v>0.0</v>
      </c>
      <c r="E2343" s="25">
        <f t="shared" si="387"/>
        <v>158</v>
      </c>
    </row>
    <row r="2344" ht="15.75" hidden="1" customHeight="1">
      <c r="A2344" s="99">
        <v>4012.0</v>
      </c>
      <c r="B2344" s="100" t="s">
        <v>118</v>
      </c>
      <c r="C2344" s="39"/>
      <c r="D2344" s="22">
        <v>0.0</v>
      </c>
      <c r="E2344" s="25">
        <f t="shared" si="387"/>
        <v>159</v>
      </c>
    </row>
    <row r="2345" ht="15.75" hidden="1" customHeight="1">
      <c r="A2345" s="62">
        <v>4013.0</v>
      </c>
      <c r="B2345" s="98" t="s">
        <v>98</v>
      </c>
      <c r="C2345" s="39"/>
      <c r="D2345" s="22">
        <v>0.0</v>
      </c>
      <c r="E2345" s="25">
        <f t="shared" si="387"/>
        <v>160</v>
      </c>
    </row>
    <row r="2346" ht="15.75" hidden="1" customHeight="1">
      <c r="A2346" s="62">
        <v>4076.0</v>
      </c>
      <c r="B2346" s="98" t="s">
        <v>29</v>
      </c>
      <c r="C2346" s="39"/>
      <c r="D2346" s="22">
        <v>0.0</v>
      </c>
      <c r="E2346" s="25">
        <f t="shared" si="387"/>
        <v>161</v>
      </c>
    </row>
    <row r="2347" ht="15.75" hidden="1" customHeight="1">
      <c r="A2347" s="62">
        <v>4078.0</v>
      </c>
      <c r="B2347" s="98" t="s">
        <v>30</v>
      </c>
      <c r="C2347" s="39"/>
      <c r="D2347" s="22">
        <v>0.0</v>
      </c>
      <c r="E2347" s="25">
        <f t="shared" si="387"/>
        <v>162</v>
      </c>
    </row>
    <row r="2348" ht="15.75" hidden="1" customHeight="1">
      <c r="A2348" s="62"/>
      <c r="B2348" s="106" t="s">
        <v>19</v>
      </c>
      <c r="C2348" s="31">
        <f t="shared" ref="C2348:D2348" si="388">SUM(C2341:C2347)</f>
        <v>0</v>
      </c>
      <c r="D2348" s="32">
        <f t="shared" si="388"/>
        <v>0</v>
      </c>
      <c r="E2348" s="25"/>
    </row>
    <row r="2349" ht="15.75" hidden="1" customHeight="1">
      <c r="A2349" s="101"/>
      <c r="B2349" s="136" t="s">
        <v>20</v>
      </c>
      <c r="C2349" s="53"/>
      <c r="D2349" s="32">
        <f>C2348-D2348</f>
        <v>0</v>
      </c>
      <c r="E2349" s="40"/>
    </row>
    <row r="2350" ht="15.75" customHeight="1">
      <c r="A2350" s="97">
        <v>192316.0</v>
      </c>
      <c r="B2350" s="176" t="s">
        <v>428</v>
      </c>
      <c r="C2350" s="75"/>
      <c r="D2350" s="76"/>
      <c r="E2350" s="177"/>
    </row>
    <row r="2351" ht="15.75" customHeight="1">
      <c r="A2351" s="99">
        <v>3030.0</v>
      </c>
      <c r="B2351" s="100" t="s">
        <v>117</v>
      </c>
      <c r="C2351" s="39">
        <f>1500*1.13</f>
        <v>1695</v>
      </c>
      <c r="D2351" s="22"/>
      <c r="E2351" s="25">
        <f>E2347+1</f>
        <v>163</v>
      </c>
    </row>
    <row r="2352" ht="15.75" customHeight="1">
      <c r="A2352" s="99">
        <v>4012.0</v>
      </c>
      <c r="B2352" s="100" t="s">
        <v>118</v>
      </c>
      <c r="C2352" s="39"/>
      <c r="D2352" s="22">
        <f>C2351/1.9</f>
        <v>892.1052632</v>
      </c>
      <c r="E2352" s="25">
        <f t="shared" ref="E2352:E2353" si="389">E2351+1</f>
        <v>164</v>
      </c>
    </row>
    <row r="2353" ht="15.75" customHeight="1">
      <c r="A2353" s="62">
        <v>4013.0</v>
      </c>
      <c r="B2353" s="98" t="s">
        <v>98</v>
      </c>
      <c r="C2353" s="39">
        <v>0.0</v>
      </c>
      <c r="D2353" s="22">
        <f>4*40</f>
        <v>160</v>
      </c>
      <c r="E2353" s="25">
        <f t="shared" si="389"/>
        <v>165</v>
      </c>
    </row>
    <row r="2354" ht="15.75" customHeight="1">
      <c r="A2354" s="62"/>
      <c r="B2354" s="106" t="s">
        <v>19</v>
      </c>
      <c r="C2354" s="31">
        <f t="shared" ref="C2354:D2354" si="390">SUM(C2351:C2353)</f>
        <v>1695</v>
      </c>
      <c r="D2354" s="32">
        <f t="shared" si="390"/>
        <v>1052.105263</v>
      </c>
      <c r="E2354" s="25"/>
    </row>
    <row r="2355" ht="15.75" customHeight="1">
      <c r="A2355" s="101"/>
      <c r="B2355" s="136" t="s">
        <v>20</v>
      </c>
      <c r="C2355" s="53"/>
      <c r="D2355" s="32">
        <f>C2354-D2354</f>
        <v>642.8947368</v>
      </c>
      <c r="E2355" s="40"/>
    </row>
    <row r="2356" ht="15.75" customHeight="1">
      <c r="A2356" s="97">
        <v>192318.0</v>
      </c>
      <c r="B2356" s="210" t="s">
        <v>429</v>
      </c>
      <c r="C2356" s="75"/>
      <c r="D2356" s="76"/>
      <c r="E2356" s="177"/>
    </row>
    <row r="2357" ht="15.75" hidden="1" customHeight="1">
      <c r="A2357" s="99">
        <v>3110.0</v>
      </c>
      <c r="B2357" s="100" t="s">
        <v>111</v>
      </c>
      <c r="C2357" s="39">
        <v>0.0</v>
      </c>
      <c r="D2357" s="22"/>
      <c r="E2357" s="25">
        <f>E2353+1</f>
        <v>166</v>
      </c>
    </row>
    <row r="2358" ht="15.75" hidden="1" customHeight="1">
      <c r="A2358" s="99">
        <v>3011.0</v>
      </c>
      <c r="B2358" s="100" t="s">
        <v>22</v>
      </c>
      <c r="C2358" s="68">
        <v>0.0</v>
      </c>
      <c r="D2358" s="22"/>
      <c r="E2358" s="25">
        <f t="shared" ref="E2358:E2372" si="391">E2357+1</f>
        <v>167</v>
      </c>
    </row>
    <row r="2359" ht="15.75" hidden="1" customHeight="1">
      <c r="A2359" s="99">
        <v>3030.0</v>
      </c>
      <c r="B2359" s="100" t="s">
        <v>117</v>
      </c>
      <c r="C2359" s="68">
        <v>0.0</v>
      </c>
      <c r="D2359" s="22"/>
      <c r="E2359" s="25">
        <f t="shared" si="391"/>
        <v>168</v>
      </c>
    </row>
    <row r="2360" ht="15.75" hidden="1" customHeight="1">
      <c r="A2360" s="99">
        <v>4012.0</v>
      </c>
      <c r="B2360" s="100" t="s">
        <v>118</v>
      </c>
      <c r="C2360" s="39"/>
      <c r="D2360" s="29">
        <v>0.0</v>
      </c>
      <c r="E2360" s="25">
        <f t="shared" si="391"/>
        <v>169</v>
      </c>
    </row>
    <row r="2361" ht="15.75" hidden="1" customHeight="1">
      <c r="A2361" s="99">
        <v>4013.0</v>
      </c>
      <c r="B2361" s="100" t="s">
        <v>98</v>
      </c>
      <c r="C2361" s="39"/>
      <c r="D2361" s="29">
        <v>0.0</v>
      </c>
      <c r="E2361" s="25">
        <f t="shared" si="391"/>
        <v>170</v>
      </c>
    </row>
    <row r="2362" ht="15.75" hidden="1" customHeight="1">
      <c r="A2362" s="99">
        <v>4047.0</v>
      </c>
      <c r="B2362" s="100" t="s">
        <v>14</v>
      </c>
      <c r="C2362" s="39"/>
      <c r="D2362" s="22">
        <v>0.0</v>
      </c>
      <c r="E2362" s="25">
        <f t="shared" si="391"/>
        <v>171</v>
      </c>
    </row>
    <row r="2363" ht="15.75" hidden="1" customHeight="1">
      <c r="A2363" s="99">
        <v>4069.0</v>
      </c>
      <c r="B2363" s="100" t="s">
        <v>181</v>
      </c>
      <c r="C2363" s="39"/>
      <c r="D2363" s="22">
        <v>0.0</v>
      </c>
      <c r="E2363" s="25">
        <f t="shared" si="391"/>
        <v>172</v>
      </c>
    </row>
    <row r="2364" ht="15.75" hidden="1" customHeight="1">
      <c r="A2364" s="99">
        <v>4076.0</v>
      </c>
      <c r="B2364" s="100" t="s">
        <v>29</v>
      </c>
      <c r="C2364" s="39"/>
      <c r="D2364" s="22">
        <v>0.0</v>
      </c>
      <c r="E2364" s="25">
        <f t="shared" si="391"/>
        <v>173</v>
      </c>
    </row>
    <row r="2365" ht="15.75" hidden="1" customHeight="1">
      <c r="A2365" s="99">
        <v>4077.0</v>
      </c>
      <c r="B2365" s="100" t="s">
        <v>328</v>
      </c>
      <c r="C2365" s="39"/>
      <c r="D2365" s="22">
        <v>0.0</v>
      </c>
      <c r="E2365" s="25">
        <f t="shared" si="391"/>
        <v>174</v>
      </c>
    </row>
    <row r="2366" ht="15.75" hidden="1" customHeight="1">
      <c r="A2366" s="99">
        <v>4078.0</v>
      </c>
      <c r="B2366" s="100" t="s">
        <v>30</v>
      </c>
      <c r="C2366" s="39"/>
      <c r="D2366" s="22">
        <v>0.0</v>
      </c>
      <c r="E2366" s="25">
        <f t="shared" si="391"/>
        <v>175</v>
      </c>
    </row>
    <row r="2367" ht="15.75" hidden="1" customHeight="1">
      <c r="A2367" s="99">
        <v>5010.0</v>
      </c>
      <c r="B2367" s="100" t="s">
        <v>61</v>
      </c>
      <c r="C2367" s="39"/>
      <c r="D2367" s="29">
        <v>0.0</v>
      </c>
      <c r="E2367" s="25">
        <f t="shared" si="391"/>
        <v>176</v>
      </c>
    </row>
    <row r="2368" ht="15.75" hidden="1" customHeight="1">
      <c r="A2368" s="99">
        <v>5461.0</v>
      </c>
      <c r="B2368" s="100" t="s">
        <v>84</v>
      </c>
      <c r="C2368" s="39"/>
      <c r="D2368" s="22">
        <v>0.0</v>
      </c>
      <c r="E2368" s="25">
        <f t="shared" si="391"/>
        <v>177</v>
      </c>
    </row>
    <row r="2369" ht="15.75" hidden="1" customHeight="1">
      <c r="A2369" s="99">
        <v>5060.0</v>
      </c>
      <c r="B2369" s="100" t="s">
        <v>113</v>
      </c>
      <c r="C2369" s="39"/>
      <c r="D2369" s="22">
        <v>0.0</v>
      </c>
      <c r="E2369" s="25">
        <f t="shared" si="391"/>
        <v>178</v>
      </c>
    </row>
    <row r="2370" ht="15.75" hidden="1" customHeight="1">
      <c r="A2370" s="99">
        <v>5710.0</v>
      </c>
      <c r="B2370" s="100" t="s">
        <v>143</v>
      </c>
      <c r="C2370" s="39"/>
      <c r="D2370" s="22">
        <v>0.0</v>
      </c>
      <c r="E2370" s="25">
        <f t="shared" si="391"/>
        <v>179</v>
      </c>
    </row>
    <row r="2371" ht="15.75" hidden="1" customHeight="1">
      <c r="A2371" s="99">
        <v>6991.0</v>
      </c>
      <c r="B2371" s="104" t="s">
        <v>76</v>
      </c>
      <c r="C2371" s="39"/>
      <c r="D2371" s="22">
        <v>0.0</v>
      </c>
      <c r="E2371" s="25">
        <f t="shared" si="391"/>
        <v>180</v>
      </c>
    </row>
    <row r="2372" ht="15.75" hidden="1" customHeight="1">
      <c r="A2372" s="62">
        <v>6993.0</v>
      </c>
      <c r="B2372" s="98" t="s">
        <v>115</v>
      </c>
      <c r="C2372" s="39"/>
      <c r="D2372" s="29">
        <v>0.0</v>
      </c>
      <c r="E2372" s="25">
        <f t="shared" si="391"/>
        <v>181</v>
      </c>
    </row>
    <row r="2373" ht="15.75" hidden="1" customHeight="1">
      <c r="A2373" s="62"/>
      <c r="B2373" s="106" t="s">
        <v>19</v>
      </c>
      <c r="C2373" s="31">
        <f t="shared" ref="C2373:D2373" si="392">SUM(C2357:C2372)</f>
        <v>0</v>
      </c>
      <c r="D2373" s="32">
        <f t="shared" si="392"/>
        <v>0</v>
      </c>
      <c r="E2373" s="25"/>
    </row>
    <row r="2374" ht="15.75" hidden="1" customHeight="1">
      <c r="A2374" s="101"/>
      <c r="B2374" s="357" t="s">
        <v>20</v>
      </c>
      <c r="C2374" s="39"/>
      <c r="D2374" s="32">
        <f>C2373-D2373</f>
        <v>0</v>
      </c>
      <c r="E2374" s="25"/>
    </row>
    <row r="2375" ht="15.75" customHeight="1">
      <c r="A2375" s="97">
        <v>192319.0</v>
      </c>
      <c r="B2375" s="176" t="s">
        <v>430</v>
      </c>
      <c r="C2375" s="75"/>
      <c r="D2375" s="76"/>
      <c r="E2375" s="177"/>
    </row>
    <row r="2376" ht="15.75" hidden="1" customHeight="1">
      <c r="A2376" s="62">
        <v>3011.0</v>
      </c>
      <c r="B2376" s="98" t="s">
        <v>22</v>
      </c>
      <c r="C2376" s="39">
        <v>0.0</v>
      </c>
      <c r="D2376" s="22"/>
      <c r="E2376" s="25">
        <f>E2371+1</f>
        <v>181</v>
      </c>
    </row>
    <row r="2377" ht="15.75" hidden="1" customHeight="1">
      <c r="A2377" s="62">
        <v>5010.0</v>
      </c>
      <c r="B2377" s="98" t="s">
        <v>61</v>
      </c>
      <c r="C2377" s="39"/>
      <c r="D2377" s="22">
        <v>0.0</v>
      </c>
      <c r="E2377" s="25">
        <f t="shared" ref="E2377:E2378" si="393">E2376+1</f>
        <v>182</v>
      </c>
    </row>
    <row r="2378" ht="15.75" hidden="1" customHeight="1">
      <c r="A2378" s="62">
        <v>6993.0</v>
      </c>
      <c r="B2378" s="98" t="s">
        <v>115</v>
      </c>
      <c r="C2378" s="39"/>
      <c r="D2378" s="22">
        <v>0.0</v>
      </c>
      <c r="E2378" s="25">
        <f t="shared" si="393"/>
        <v>183</v>
      </c>
    </row>
    <row r="2379" ht="15.75" hidden="1" customHeight="1">
      <c r="A2379" s="62"/>
      <c r="B2379" s="106" t="s">
        <v>19</v>
      </c>
      <c r="C2379" s="31">
        <f t="shared" ref="C2379:D2379" si="394">SUM(C2376:C2378)</f>
        <v>0</v>
      </c>
      <c r="D2379" s="32">
        <f t="shared" si="394"/>
        <v>0</v>
      </c>
      <c r="E2379" s="25"/>
    </row>
    <row r="2380" ht="15.75" hidden="1" customHeight="1">
      <c r="A2380" s="101"/>
      <c r="B2380" s="136" t="s">
        <v>20</v>
      </c>
      <c r="C2380" s="53"/>
      <c r="D2380" s="32">
        <f>C2379-D2379</f>
        <v>0</v>
      </c>
      <c r="E2380" s="40"/>
    </row>
    <row r="2381" ht="15.75" customHeight="1">
      <c r="A2381" s="97">
        <v>192320.0</v>
      </c>
      <c r="B2381" s="358" t="s">
        <v>431</v>
      </c>
      <c r="C2381" s="75"/>
      <c r="D2381" s="76"/>
      <c r="E2381" s="177"/>
    </row>
    <row r="2382" ht="15.75" customHeight="1">
      <c r="A2382" s="62">
        <v>3011.0</v>
      </c>
      <c r="B2382" s="98" t="s">
        <v>22</v>
      </c>
      <c r="C2382" s="39">
        <f>430*70</f>
        <v>30100</v>
      </c>
      <c r="D2382" s="22"/>
      <c r="E2382" s="25">
        <f>E2378+1</f>
        <v>184</v>
      </c>
    </row>
    <row r="2383" ht="15.75" customHeight="1">
      <c r="A2383" s="62">
        <v>3030.0</v>
      </c>
      <c r="B2383" s="98" t="s">
        <v>117</v>
      </c>
      <c r="C2383" s="39">
        <f>60000*1.13</f>
        <v>67800</v>
      </c>
      <c r="D2383" s="22"/>
      <c r="E2383" s="25">
        <f t="shared" ref="E2383:E2387" si="395">E2382+1</f>
        <v>185</v>
      </c>
    </row>
    <row r="2384" ht="15.75" customHeight="1">
      <c r="A2384" s="62">
        <v>4012.0</v>
      </c>
      <c r="B2384" s="98" t="s">
        <v>118</v>
      </c>
      <c r="C2384" s="39"/>
      <c r="D2384" s="22">
        <f>C2383/1.9</f>
        <v>35684.21053</v>
      </c>
      <c r="E2384" s="25">
        <f t="shared" si="395"/>
        <v>186</v>
      </c>
    </row>
    <row r="2385" ht="15.75" customHeight="1">
      <c r="A2385" s="62">
        <v>4013.0</v>
      </c>
      <c r="B2385" s="98" t="s">
        <v>98</v>
      </c>
      <c r="C2385" s="39"/>
      <c r="D2385" s="22">
        <f>32*100</f>
        <v>3200</v>
      </c>
      <c r="E2385" s="25">
        <f t="shared" si="395"/>
        <v>187</v>
      </c>
    </row>
    <row r="2386" ht="21.75" customHeight="1">
      <c r="A2386" s="62">
        <v>4078.0</v>
      </c>
      <c r="B2386" s="98" t="s">
        <v>30</v>
      </c>
      <c r="C2386" s="39"/>
      <c r="D2386" s="22">
        <v>3000.0</v>
      </c>
      <c r="E2386" s="25">
        <f t="shared" si="395"/>
        <v>188</v>
      </c>
    </row>
    <row r="2387" ht="15.75" customHeight="1">
      <c r="A2387" s="62">
        <v>6993.0</v>
      </c>
      <c r="B2387" s="98" t="s">
        <v>115</v>
      </c>
      <c r="C2387" s="39"/>
      <c r="D2387" s="22">
        <f>350*5*1.25</f>
        <v>2187.5</v>
      </c>
      <c r="E2387" s="25">
        <f t="shared" si="395"/>
        <v>189</v>
      </c>
    </row>
    <row r="2388" ht="15.75" customHeight="1">
      <c r="A2388" s="62"/>
      <c r="B2388" s="135" t="s">
        <v>19</v>
      </c>
      <c r="C2388" s="31">
        <f t="shared" ref="C2388:D2388" si="396">SUM(C2382:C2387)</f>
        <v>97900</v>
      </c>
      <c r="D2388" s="32">
        <f t="shared" si="396"/>
        <v>44071.71053</v>
      </c>
      <c r="E2388" s="25"/>
    </row>
    <row r="2389" ht="15.75" customHeight="1">
      <c r="A2389" s="101"/>
      <c r="B2389" s="136" t="s">
        <v>20</v>
      </c>
      <c r="C2389" s="39"/>
      <c r="D2389" s="32">
        <f>C2388-D2388</f>
        <v>53828.28947</v>
      </c>
      <c r="E2389" s="40"/>
    </row>
    <row r="2390" ht="15.75" customHeight="1">
      <c r="A2390" s="97">
        <v>192321.0</v>
      </c>
      <c r="B2390" s="208" t="s">
        <v>432</v>
      </c>
      <c r="C2390" s="75"/>
      <c r="D2390" s="76"/>
      <c r="E2390" s="177"/>
    </row>
    <row r="2391" ht="15.75" hidden="1" customHeight="1">
      <c r="A2391" s="62">
        <v>3011.0</v>
      </c>
      <c r="B2391" s="98" t="s">
        <v>22</v>
      </c>
      <c r="C2391" s="39">
        <v>0.0</v>
      </c>
      <c r="D2391" s="22"/>
      <c r="E2391" s="359">
        <f t="shared" ref="E2391:E2395" si="397">E2390+1</f>
        <v>1</v>
      </c>
    </row>
    <row r="2392" ht="15.75" hidden="1" customHeight="1">
      <c r="A2392" s="62">
        <v>4013.0</v>
      </c>
      <c r="B2392" s="98" t="s">
        <v>98</v>
      </c>
      <c r="C2392" s="39"/>
      <c r="D2392" s="22">
        <v>0.0</v>
      </c>
      <c r="E2392" s="359">
        <f t="shared" si="397"/>
        <v>2</v>
      </c>
    </row>
    <row r="2393" ht="15.75" hidden="1" customHeight="1">
      <c r="A2393" s="62">
        <v>4076.0</v>
      </c>
      <c r="B2393" s="98" t="s">
        <v>29</v>
      </c>
      <c r="C2393" s="39"/>
      <c r="D2393" s="22">
        <v>0.0</v>
      </c>
      <c r="E2393" s="359">
        <f t="shared" si="397"/>
        <v>3</v>
      </c>
    </row>
    <row r="2394" ht="15.75" hidden="1" customHeight="1">
      <c r="A2394" s="62">
        <v>4078.0</v>
      </c>
      <c r="B2394" s="98" t="s">
        <v>30</v>
      </c>
      <c r="C2394" s="39"/>
      <c r="D2394" s="22">
        <v>0.0</v>
      </c>
      <c r="E2394" s="359">
        <f t="shared" si="397"/>
        <v>4</v>
      </c>
    </row>
    <row r="2395" ht="15.75" hidden="1" customHeight="1">
      <c r="A2395" s="62">
        <v>5710.0</v>
      </c>
      <c r="B2395" s="98" t="s">
        <v>143</v>
      </c>
      <c r="C2395" s="39"/>
      <c r="D2395" s="22">
        <v>0.0</v>
      </c>
      <c r="E2395" s="359">
        <f t="shared" si="397"/>
        <v>5</v>
      </c>
    </row>
    <row r="2396" ht="15.75" hidden="1" customHeight="1">
      <c r="A2396" s="62"/>
      <c r="B2396" s="106" t="s">
        <v>19</v>
      </c>
      <c r="C2396" s="31">
        <f>C2391</f>
        <v>0</v>
      </c>
      <c r="D2396" s="32">
        <f>SUM(D2392:D2395)</f>
        <v>0</v>
      </c>
      <c r="E2396" s="25"/>
    </row>
    <row r="2397" ht="15.75" hidden="1" customHeight="1">
      <c r="A2397" s="101"/>
      <c r="B2397" s="136" t="s">
        <v>20</v>
      </c>
      <c r="C2397" s="39"/>
      <c r="D2397" s="32">
        <f>C2396-D2396</f>
        <v>0</v>
      </c>
      <c r="E2397" s="25"/>
    </row>
    <row r="2398" ht="15.75" customHeight="1">
      <c r="A2398" s="97">
        <v>192322.0</v>
      </c>
      <c r="B2398" s="208" t="s">
        <v>433</v>
      </c>
      <c r="C2398" s="75"/>
      <c r="D2398" s="76"/>
      <c r="E2398" s="177"/>
    </row>
    <row r="2399" ht="15.75" hidden="1" customHeight="1">
      <c r="A2399" s="62">
        <v>3011.0</v>
      </c>
      <c r="B2399" s="98" t="s">
        <v>22</v>
      </c>
      <c r="C2399" s="39">
        <v>0.0</v>
      </c>
      <c r="D2399" s="22"/>
      <c r="E2399" s="359">
        <f t="shared" ref="E2399:E2403" si="398">E2398+1</f>
        <v>1</v>
      </c>
    </row>
    <row r="2400" ht="15.75" hidden="1" customHeight="1">
      <c r="A2400" s="62">
        <v>4013.0</v>
      </c>
      <c r="B2400" s="98" t="s">
        <v>98</v>
      </c>
      <c r="C2400" s="39"/>
      <c r="D2400" s="22">
        <v>0.0</v>
      </c>
      <c r="E2400" s="359">
        <f t="shared" si="398"/>
        <v>2</v>
      </c>
    </row>
    <row r="2401" ht="15.75" hidden="1" customHeight="1">
      <c r="A2401" s="62">
        <v>4076.0</v>
      </c>
      <c r="B2401" s="98" t="s">
        <v>29</v>
      </c>
      <c r="C2401" s="39"/>
      <c r="D2401" s="22">
        <v>0.0</v>
      </c>
      <c r="E2401" s="359">
        <f t="shared" si="398"/>
        <v>3</v>
      </c>
    </row>
    <row r="2402" ht="15.75" hidden="1" customHeight="1">
      <c r="A2402" s="62">
        <v>4078.0</v>
      </c>
      <c r="B2402" s="98" t="s">
        <v>30</v>
      </c>
      <c r="C2402" s="39"/>
      <c r="D2402" s="22">
        <v>0.0</v>
      </c>
      <c r="E2402" s="359">
        <f t="shared" si="398"/>
        <v>4</v>
      </c>
    </row>
    <row r="2403" ht="15.75" hidden="1" customHeight="1">
      <c r="A2403" s="62">
        <v>5710.0</v>
      </c>
      <c r="B2403" s="98" t="s">
        <v>143</v>
      </c>
      <c r="C2403" s="39"/>
      <c r="D2403" s="22">
        <v>0.0</v>
      </c>
      <c r="E2403" s="359">
        <f t="shared" si="398"/>
        <v>5</v>
      </c>
    </row>
    <row r="2404" ht="15.75" hidden="1" customHeight="1">
      <c r="A2404" s="62"/>
      <c r="B2404" s="106" t="s">
        <v>19</v>
      </c>
      <c r="C2404" s="31">
        <f>C2399</f>
        <v>0</v>
      </c>
      <c r="D2404" s="32">
        <f>SUM(D2400:D2403)</f>
        <v>0</v>
      </c>
      <c r="E2404" s="25"/>
    </row>
    <row r="2405" ht="15.75" hidden="1" customHeight="1">
      <c r="A2405" s="101"/>
      <c r="B2405" s="136" t="s">
        <v>20</v>
      </c>
      <c r="C2405" s="39"/>
      <c r="D2405" s="32">
        <f>C2404-D2404</f>
        <v>0</v>
      </c>
      <c r="E2405" s="40"/>
    </row>
    <row r="2406" ht="15.75" customHeight="1">
      <c r="A2406" s="97">
        <v>192323.0</v>
      </c>
      <c r="B2406" s="176" t="s">
        <v>434</v>
      </c>
      <c r="C2406" s="75"/>
      <c r="D2406" s="76"/>
      <c r="E2406" s="177"/>
    </row>
    <row r="2407" ht="15.75" hidden="1" customHeight="1">
      <c r="A2407" s="62">
        <v>3011.0</v>
      </c>
      <c r="B2407" s="98" t="s">
        <v>22</v>
      </c>
      <c r="C2407" s="68">
        <v>0.0</v>
      </c>
      <c r="D2407" s="22"/>
      <c r="E2407" s="25">
        <f>E2387+1</f>
        <v>190</v>
      </c>
    </row>
    <row r="2408" ht="15.75" hidden="1" customHeight="1">
      <c r="A2408" s="62">
        <v>3030.0</v>
      </c>
      <c r="B2408" s="98" t="s">
        <v>117</v>
      </c>
      <c r="C2408" s="39">
        <v>0.0</v>
      </c>
      <c r="D2408" s="22"/>
      <c r="E2408" s="25">
        <f t="shared" ref="E2408:E2412" si="399">E2407+1</f>
        <v>191</v>
      </c>
    </row>
    <row r="2409" ht="15.75" hidden="1" customHeight="1">
      <c r="A2409" s="62">
        <v>4078.0</v>
      </c>
      <c r="B2409" s="98" t="s">
        <v>30</v>
      </c>
      <c r="C2409" s="39"/>
      <c r="D2409" s="22">
        <v>0.0</v>
      </c>
      <c r="E2409" s="25">
        <f t="shared" si="399"/>
        <v>192</v>
      </c>
    </row>
    <row r="2410" ht="15.75" hidden="1" customHeight="1">
      <c r="A2410" s="62">
        <v>4012.0</v>
      </c>
      <c r="B2410" s="98" t="s">
        <v>118</v>
      </c>
      <c r="C2410" s="39"/>
      <c r="D2410" s="22">
        <f>C2408/1.9</f>
        <v>0</v>
      </c>
      <c r="E2410" s="25">
        <f t="shared" si="399"/>
        <v>193</v>
      </c>
    </row>
    <row r="2411" ht="15.75" hidden="1" customHeight="1">
      <c r="A2411" s="62">
        <v>4013.0</v>
      </c>
      <c r="B2411" s="98" t="s">
        <v>98</v>
      </c>
      <c r="C2411" s="39"/>
      <c r="D2411" s="22">
        <v>0.0</v>
      </c>
      <c r="E2411" s="25">
        <f t="shared" si="399"/>
        <v>194</v>
      </c>
    </row>
    <row r="2412" ht="15.75" hidden="1" customHeight="1">
      <c r="A2412" s="62">
        <v>4190.0</v>
      </c>
      <c r="B2412" s="98" t="s">
        <v>32</v>
      </c>
      <c r="C2412" s="39"/>
      <c r="D2412" s="22">
        <v>0.0</v>
      </c>
      <c r="E2412" s="25">
        <f t="shared" si="399"/>
        <v>195</v>
      </c>
    </row>
    <row r="2413" ht="15.75" hidden="1" customHeight="1">
      <c r="A2413" s="62"/>
      <c r="B2413" s="106" t="s">
        <v>19</v>
      </c>
      <c r="C2413" s="31">
        <f t="shared" ref="C2413:D2413" si="400">SUM(C2407:C2412)</f>
        <v>0</v>
      </c>
      <c r="D2413" s="32">
        <f t="shared" si="400"/>
        <v>0</v>
      </c>
      <c r="E2413" s="25"/>
    </row>
    <row r="2414" ht="15.75" hidden="1" customHeight="1">
      <c r="A2414" s="101"/>
      <c r="B2414" s="136" t="s">
        <v>20</v>
      </c>
      <c r="C2414" s="39"/>
      <c r="D2414" s="32">
        <f>C2413-D2413</f>
        <v>0</v>
      </c>
      <c r="E2414" s="40"/>
    </row>
    <row r="2415" ht="15.75" customHeight="1">
      <c r="A2415" s="97">
        <v>192324.0</v>
      </c>
      <c r="B2415" s="355" t="s">
        <v>435</v>
      </c>
      <c r="C2415" s="75"/>
      <c r="D2415" s="76"/>
      <c r="E2415" s="177"/>
    </row>
    <row r="2416" ht="15.75" customHeight="1">
      <c r="A2416" s="62">
        <v>3011.0</v>
      </c>
      <c r="B2416" s="98" t="s">
        <v>22</v>
      </c>
      <c r="C2416" s="39">
        <f>60*120+100*70</f>
        <v>14200</v>
      </c>
      <c r="D2416" s="22"/>
      <c r="E2416" s="25">
        <f>E2412+1</f>
        <v>196</v>
      </c>
    </row>
    <row r="2417" ht="15.75" customHeight="1">
      <c r="A2417" s="62">
        <v>3030.0</v>
      </c>
      <c r="B2417" s="98" t="s">
        <v>117</v>
      </c>
      <c r="C2417" s="39">
        <f>4500*1.13</f>
        <v>5085</v>
      </c>
      <c r="D2417" s="22"/>
      <c r="E2417" s="25">
        <f t="shared" ref="E2417:E2421" si="401">E2416+1</f>
        <v>197</v>
      </c>
    </row>
    <row r="2418" ht="15.75" customHeight="1">
      <c r="A2418" s="62">
        <v>4012.0</v>
      </c>
      <c r="B2418" s="98" t="s">
        <v>118</v>
      </c>
      <c r="C2418" s="39"/>
      <c r="D2418" s="22">
        <f>C2417/1.9</f>
        <v>2676.315789</v>
      </c>
      <c r="E2418" s="25">
        <f t="shared" si="401"/>
        <v>198</v>
      </c>
    </row>
    <row r="2419" ht="15.75" customHeight="1">
      <c r="A2419" s="62">
        <v>4013.0</v>
      </c>
      <c r="B2419" s="98" t="s">
        <v>98</v>
      </c>
      <c r="C2419" s="39"/>
      <c r="D2419" s="22">
        <f>40*16</f>
        <v>640</v>
      </c>
      <c r="E2419" s="25">
        <f t="shared" si="401"/>
        <v>199</v>
      </c>
    </row>
    <row r="2420" ht="15.75" customHeight="1">
      <c r="A2420" s="62">
        <v>4076.0</v>
      </c>
      <c r="B2420" s="98" t="s">
        <v>29</v>
      </c>
      <c r="C2420" s="39"/>
      <c r="D2420" s="22">
        <f>110*50</f>
        <v>5500</v>
      </c>
      <c r="E2420" s="25">
        <f t="shared" si="401"/>
        <v>200</v>
      </c>
    </row>
    <row r="2421" ht="15.75" customHeight="1">
      <c r="A2421" s="62">
        <v>4078.0</v>
      </c>
      <c r="B2421" s="98" t="s">
        <v>30</v>
      </c>
      <c r="C2421" s="39"/>
      <c r="D2421" s="22">
        <v>5000.0</v>
      </c>
      <c r="E2421" s="25">
        <f t="shared" si="401"/>
        <v>201</v>
      </c>
    </row>
    <row r="2422" ht="15.75" customHeight="1">
      <c r="A2422" s="62"/>
      <c r="B2422" s="106" t="s">
        <v>19</v>
      </c>
      <c r="C2422" s="31">
        <f t="shared" ref="C2422:D2422" si="402">SUM(C2416:C2421)</f>
        <v>19285</v>
      </c>
      <c r="D2422" s="32">
        <f t="shared" si="402"/>
        <v>13816.31579</v>
      </c>
      <c r="E2422" s="25"/>
    </row>
    <row r="2423" ht="15.75" customHeight="1">
      <c r="A2423" s="101"/>
      <c r="B2423" s="136" t="s">
        <v>20</v>
      </c>
      <c r="C2423" s="39"/>
      <c r="D2423" s="32">
        <f>C2422-D2422</f>
        <v>5468.684211</v>
      </c>
      <c r="E2423" s="40"/>
    </row>
    <row r="2424" ht="15.75" customHeight="1">
      <c r="A2424" s="97">
        <v>192325.0</v>
      </c>
      <c r="B2424" s="176" t="s">
        <v>436</v>
      </c>
      <c r="C2424" s="75"/>
      <c r="D2424" s="76"/>
      <c r="E2424" s="177"/>
    </row>
    <row r="2425" ht="15.75" customHeight="1">
      <c r="A2425" s="62">
        <v>3011.0</v>
      </c>
      <c r="B2425" s="98" t="s">
        <v>22</v>
      </c>
      <c r="C2425" s="39">
        <f>243*450+12*700</f>
        <v>117750</v>
      </c>
      <c r="D2425" s="22"/>
      <c r="E2425" s="25">
        <f>E2421+1</f>
        <v>202</v>
      </c>
    </row>
    <row r="2426" ht="15.75" customHeight="1">
      <c r="A2426" s="62">
        <v>3014.0</v>
      </c>
      <c r="B2426" s="98" t="s">
        <v>55</v>
      </c>
      <c r="C2426" s="39">
        <f>20*450+11*2*450</f>
        <v>18900</v>
      </c>
      <c r="D2426" s="22"/>
      <c r="E2426" s="25">
        <f t="shared" ref="E2426:E2433" si="403">E2425+1</f>
        <v>203</v>
      </c>
    </row>
    <row r="2427" ht="15.75" customHeight="1">
      <c r="A2427" s="62">
        <v>4013.0</v>
      </c>
      <c r="B2427" s="98" t="s">
        <v>98</v>
      </c>
      <c r="C2427" s="39"/>
      <c r="D2427" s="22">
        <f>32*100</f>
        <v>3200</v>
      </c>
      <c r="E2427" s="25">
        <f t="shared" si="403"/>
        <v>204</v>
      </c>
    </row>
    <row r="2428" ht="15.75" customHeight="1">
      <c r="A2428" s="62">
        <v>4076.0</v>
      </c>
      <c r="B2428" s="98" t="s">
        <v>29</v>
      </c>
      <c r="C2428" s="39"/>
      <c r="D2428" s="22">
        <f>280*370</f>
        <v>103600</v>
      </c>
      <c r="E2428" s="25">
        <f t="shared" si="403"/>
        <v>205</v>
      </c>
    </row>
    <row r="2429" ht="15.75" customHeight="1">
      <c r="A2429" s="62">
        <v>4077.0</v>
      </c>
      <c r="B2429" s="98" t="s">
        <v>328</v>
      </c>
      <c r="C2429" s="39"/>
      <c r="D2429" s="22">
        <v>0.0</v>
      </c>
      <c r="E2429" s="25">
        <f t="shared" si="403"/>
        <v>206</v>
      </c>
    </row>
    <row r="2430" ht="15.75" customHeight="1">
      <c r="A2430" s="62">
        <v>4078.0</v>
      </c>
      <c r="B2430" s="98" t="s">
        <v>30</v>
      </c>
      <c r="C2430" s="39"/>
      <c r="D2430" s="22">
        <f>9000</f>
        <v>9000</v>
      </c>
      <c r="E2430" s="25">
        <f t="shared" si="403"/>
        <v>207</v>
      </c>
    </row>
    <row r="2431" ht="15.75" customHeight="1">
      <c r="A2431" s="62">
        <v>5060.0</v>
      </c>
      <c r="B2431" s="98" t="s">
        <v>113</v>
      </c>
      <c r="C2431" s="39"/>
      <c r="D2431" s="22">
        <f>5000</f>
        <v>5000</v>
      </c>
      <c r="E2431" s="25">
        <f t="shared" si="403"/>
        <v>208</v>
      </c>
    </row>
    <row r="2432" ht="15.75" customHeight="1">
      <c r="A2432" s="62">
        <v>6071.0</v>
      </c>
      <c r="B2432" s="98" t="s">
        <v>36</v>
      </c>
      <c r="C2432" s="39"/>
      <c r="D2432" s="22">
        <f>20*450</f>
        <v>9000</v>
      </c>
      <c r="E2432" s="25">
        <f t="shared" si="403"/>
        <v>209</v>
      </c>
    </row>
    <row r="2433" ht="15.75" customHeight="1">
      <c r="A2433" s="62">
        <v>6993.0</v>
      </c>
      <c r="B2433" s="98" t="s">
        <v>115</v>
      </c>
      <c r="C2433" s="39"/>
      <c r="D2433" s="22">
        <f>250*10*1.25+11*15*1.25</f>
        <v>3331.25</v>
      </c>
      <c r="E2433" s="25">
        <f t="shared" si="403"/>
        <v>210</v>
      </c>
    </row>
    <row r="2434" ht="15.75" customHeight="1">
      <c r="A2434" s="62"/>
      <c r="B2434" s="106" t="s">
        <v>19</v>
      </c>
      <c r="C2434" s="31">
        <f t="shared" ref="C2434:D2434" si="404">SUM(C2425:C2433)</f>
        <v>136650</v>
      </c>
      <c r="D2434" s="32">
        <f t="shared" si="404"/>
        <v>133131.25</v>
      </c>
      <c r="E2434" s="25"/>
    </row>
    <row r="2435" ht="15.75" customHeight="1">
      <c r="A2435" s="101"/>
      <c r="B2435" s="136" t="s">
        <v>20</v>
      </c>
      <c r="C2435" s="53"/>
      <c r="D2435" s="32">
        <f>C2434-D2434</f>
        <v>3518.75</v>
      </c>
      <c r="E2435" s="40"/>
    </row>
    <row r="2436" ht="15.75" customHeight="1">
      <c r="A2436" s="97">
        <v>192326.0</v>
      </c>
      <c r="B2436" s="176" t="s">
        <v>437</v>
      </c>
      <c r="C2436" s="75"/>
      <c r="D2436" s="76"/>
      <c r="E2436" s="177"/>
    </row>
    <row r="2437" ht="15.75" customHeight="1">
      <c r="A2437" s="62">
        <v>3011.0</v>
      </c>
      <c r="B2437" s="98" t="s">
        <v>22</v>
      </c>
      <c r="C2437" s="39">
        <f>50*70</f>
        <v>3500</v>
      </c>
      <c r="D2437" s="22"/>
      <c r="E2437" s="25">
        <f>E2433+1</f>
        <v>211</v>
      </c>
    </row>
    <row r="2438" ht="15.75" customHeight="1">
      <c r="A2438" s="62">
        <v>3030.0</v>
      </c>
      <c r="B2438" s="98" t="s">
        <v>117</v>
      </c>
      <c r="C2438" s="39">
        <f>33000*1.13</f>
        <v>37290</v>
      </c>
      <c r="D2438" s="22"/>
      <c r="E2438" s="25">
        <f t="shared" ref="E2438:E2441" si="405">E2437+1</f>
        <v>212</v>
      </c>
    </row>
    <row r="2439" ht="15.75" customHeight="1">
      <c r="A2439" s="62">
        <v>4012.0</v>
      </c>
      <c r="B2439" s="98" t="s">
        <v>118</v>
      </c>
      <c r="C2439" s="39"/>
      <c r="D2439" s="22">
        <f>(C2438/1.9)</f>
        <v>19626.31579</v>
      </c>
      <c r="E2439" s="25">
        <f t="shared" si="405"/>
        <v>213</v>
      </c>
    </row>
    <row r="2440" ht="15.75" customHeight="1">
      <c r="A2440" s="62">
        <v>4013.0</v>
      </c>
      <c r="B2440" s="98" t="s">
        <v>98</v>
      </c>
      <c r="C2440" s="39"/>
      <c r="D2440" s="22">
        <f>32*40</f>
        <v>1280</v>
      </c>
      <c r="E2440" s="25">
        <f t="shared" si="405"/>
        <v>214</v>
      </c>
    </row>
    <row r="2441" ht="15.75" customHeight="1">
      <c r="A2441" s="62">
        <v>4078.0</v>
      </c>
      <c r="B2441" s="98" t="s">
        <v>30</v>
      </c>
      <c r="C2441" s="39"/>
      <c r="D2441" s="22">
        <v>0.0</v>
      </c>
      <c r="E2441" s="25">
        <f t="shared" si="405"/>
        <v>215</v>
      </c>
    </row>
    <row r="2442" ht="15.75" customHeight="1">
      <c r="A2442" s="62"/>
      <c r="B2442" s="106" t="s">
        <v>19</v>
      </c>
      <c r="C2442" s="31">
        <f t="shared" ref="C2442:D2442" si="406">SUM(C2437:C2441)</f>
        <v>40790</v>
      </c>
      <c r="D2442" s="32">
        <f t="shared" si="406"/>
        <v>20906.31579</v>
      </c>
      <c r="E2442" s="25"/>
    </row>
    <row r="2443" ht="15.75" customHeight="1">
      <c r="A2443" s="101"/>
      <c r="B2443" s="136" t="s">
        <v>20</v>
      </c>
      <c r="C2443" s="53"/>
      <c r="D2443" s="32">
        <f>C2442-D2442</f>
        <v>19883.68421</v>
      </c>
      <c r="E2443" s="40"/>
    </row>
    <row r="2444" ht="15.75" customHeight="1">
      <c r="A2444" s="97">
        <v>192327.0</v>
      </c>
      <c r="B2444" s="176" t="s">
        <v>438</v>
      </c>
      <c r="C2444" s="75"/>
      <c r="D2444" s="76"/>
      <c r="E2444" s="177"/>
    </row>
    <row r="2445" ht="15.75" customHeight="1">
      <c r="A2445" s="62">
        <v>3011.0</v>
      </c>
      <c r="B2445" s="98" t="s">
        <v>22</v>
      </c>
      <c r="C2445" s="39">
        <f>30*100</f>
        <v>3000</v>
      </c>
      <c r="D2445" s="57"/>
      <c r="E2445" s="25">
        <f>E2441+1</f>
        <v>216</v>
      </c>
    </row>
    <row r="2446" ht="15.75" customHeight="1">
      <c r="A2446" s="62">
        <v>3030.0</v>
      </c>
      <c r="B2446" s="98" t="s">
        <v>117</v>
      </c>
      <c r="C2446" s="21">
        <f>1000*1.13</f>
        <v>1130</v>
      </c>
      <c r="D2446" s="57"/>
      <c r="E2446" s="25">
        <f t="shared" ref="E2446:E2449" si="407">E2445+1</f>
        <v>217</v>
      </c>
    </row>
    <row r="2447" ht="15.75" customHeight="1">
      <c r="A2447" s="62">
        <v>4012.0</v>
      </c>
      <c r="B2447" s="98" t="s">
        <v>118</v>
      </c>
      <c r="C2447" s="39"/>
      <c r="D2447" s="57">
        <f>C2446/1.9</f>
        <v>594.7368421</v>
      </c>
      <c r="E2447" s="25">
        <f t="shared" si="407"/>
        <v>218</v>
      </c>
    </row>
    <row r="2448" ht="15.75" customHeight="1">
      <c r="A2448" s="62">
        <v>4013.0</v>
      </c>
      <c r="B2448" s="98" t="s">
        <v>98</v>
      </c>
      <c r="C2448" s="39"/>
      <c r="D2448" s="57">
        <f>15*40</f>
        <v>600</v>
      </c>
      <c r="E2448" s="25">
        <f t="shared" si="407"/>
        <v>219</v>
      </c>
    </row>
    <row r="2449" ht="15.75" customHeight="1">
      <c r="A2449" s="62">
        <v>4076.0</v>
      </c>
      <c r="B2449" s="98" t="s">
        <v>29</v>
      </c>
      <c r="C2449" s="39"/>
      <c r="D2449" s="22">
        <v>1000.0</v>
      </c>
      <c r="E2449" s="25">
        <f t="shared" si="407"/>
        <v>220</v>
      </c>
    </row>
    <row r="2450" ht="15.75" customHeight="1">
      <c r="A2450" s="62"/>
      <c r="B2450" s="106" t="s">
        <v>19</v>
      </c>
      <c r="C2450" s="166">
        <f t="shared" ref="C2450:D2450" si="408">SUM(C2445:C2449)</f>
        <v>4130</v>
      </c>
      <c r="D2450" s="32">
        <f t="shared" si="408"/>
        <v>2194.736842</v>
      </c>
      <c r="E2450" s="25"/>
    </row>
    <row r="2451" ht="15.75" customHeight="1">
      <c r="A2451" s="101"/>
      <c r="B2451" s="136" t="s">
        <v>20</v>
      </c>
      <c r="C2451" s="53"/>
      <c r="D2451" s="32">
        <f>C2450-D2450</f>
        <v>1935.263158</v>
      </c>
      <c r="E2451" s="40"/>
    </row>
    <row r="2452" ht="15.75" customHeight="1">
      <c r="A2452" s="97">
        <v>192328.0</v>
      </c>
      <c r="B2452" s="360" t="s">
        <v>439</v>
      </c>
      <c r="C2452" s="75"/>
      <c r="D2452" s="76"/>
      <c r="E2452" s="177"/>
    </row>
    <row r="2453" ht="15.75" customHeight="1">
      <c r="A2453" s="62">
        <v>3010.0</v>
      </c>
      <c r="B2453" s="98" t="s">
        <v>2</v>
      </c>
      <c r="C2453" s="39">
        <v>225500.0</v>
      </c>
      <c r="D2453" s="22"/>
      <c r="E2453" s="25">
        <f>E2449+1</f>
        <v>221</v>
      </c>
    </row>
    <row r="2454" ht="15.75" customHeight="1">
      <c r="A2454" s="62">
        <v>3030.0</v>
      </c>
      <c r="B2454" s="98" t="s">
        <v>117</v>
      </c>
      <c r="C2454" s="39">
        <f>55000</f>
        <v>55000</v>
      </c>
      <c r="D2454" s="22"/>
      <c r="E2454" s="25">
        <f t="shared" ref="E2454:E2461" si="409">E2453+1</f>
        <v>222</v>
      </c>
    </row>
    <row r="2455" ht="15.75" customHeight="1">
      <c r="A2455" s="62">
        <v>3076.0</v>
      </c>
      <c r="B2455" s="98" t="s">
        <v>281</v>
      </c>
      <c r="C2455" s="39">
        <f>70000*1.13</f>
        <v>79100</v>
      </c>
      <c r="D2455" s="22"/>
      <c r="E2455" s="25">
        <f t="shared" si="409"/>
        <v>223</v>
      </c>
    </row>
    <row r="2456" ht="15.75" customHeight="1">
      <c r="A2456" s="62">
        <v>4012.0</v>
      </c>
      <c r="B2456" s="98" t="s">
        <v>118</v>
      </c>
      <c r="C2456" s="39"/>
      <c r="D2456" s="22">
        <f>41700</f>
        <v>41700</v>
      </c>
      <c r="E2456" s="25">
        <f t="shared" si="409"/>
        <v>224</v>
      </c>
    </row>
    <row r="2457" ht="15.75" customHeight="1">
      <c r="A2457" s="62">
        <v>4047.0</v>
      </c>
      <c r="B2457" s="98" t="s">
        <v>14</v>
      </c>
      <c r="C2457" s="39"/>
      <c r="D2457" s="22">
        <v>10000.0</v>
      </c>
      <c r="E2457" s="25">
        <f t="shared" si="409"/>
        <v>225</v>
      </c>
    </row>
    <row r="2458" ht="15.75" customHeight="1">
      <c r="A2458" s="62">
        <v>4076.0</v>
      </c>
      <c r="B2458" s="98" t="s">
        <v>29</v>
      </c>
      <c r="C2458" s="39"/>
      <c r="D2458" s="22">
        <v>70000.0</v>
      </c>
      <c r="E2458" s="25">
        <f t="shared" si="409"/>
        <v>226</v>
      </c>
    </row>
    <row r="2459" ht="15.75" customHeight="1">
      <c r="A2459" s="62">
        <v>5461.0</v>
      </c>
      <c r="B2459" s="98" t="s">
        <v>84</v>
      </c>
      <c r="C2459" s="39"/>
      <c r="D2459" s="22">
        <v>10000.0</v>
      </c>
      <c r="E2459" s="25">
        <f t="shared" si="409"/>
        <v>227</v>
      </c>
    </row>
    <row r="2460" ht="15.75" customHeight="1">
      <c r="A2460" s="62">
        <v>6570.0</v>
      </c>
      <c r="B2460" s="98" t="s">
        <v>85</v>
      </c>
      <c r="C2460" s="39"/>
      <c r="D2460" s="22">
        <v>0.0</v>
      </c>
      <c r="E2460" s="25">
        <f t="shared" si="409"/>
        <v>228</v>
      </c>
    </row>
    <row r="2461" ht="15.75" customHeight="1">
      <c r="A2461" s="62">
        <v>8910.0</v>
      </c>
      <c r="B2461" s="98" t="s">
        <v>440</v>
      </c>
      <c r="C2461" s="39"/>
      <c r="D2461" s="22">
        <v>0.0</v>
      </c>
      <c r="E2461" s="25">
        <f t="shared" si="409"/>
        <v>229</v>
      </c>
    </row>
    <row r="2462" ht="15.75" customHeight="1">
      <c r="A2462" s="62"/>
      <c r="B2462" s="106" t="s">
        <v>19</v>
      </c>
      <c r="C2462" s="31">
        <f t="shared" ref="C2462:D2462" si="410">SUM(C2453:C2461)</f>
        <v>359600</v>
      </c>
      <c r="D2462" s="32">
        <f t="shared" si="410"/>
        <v>131700</v>
      </c>
      <c r="E2462" s="25"/>
    </row>
    <row r="2463" ht="15.75" customHeight="1">
      <c r="A2463" s="101"/>
      <c r="B2463" s="136" t="s">
        <v>20</v>
      </c>
      <c r="C2463" s="53"/>
      <c r="D2463" s="32">
        <f>C2462-D2462</f>
        <v>227900</v>
      </c>
      <c r="E2463" s="40"/>
    </row>
    <row r="2464" ht="15.75" customHeight="1">
      <c r="A2464" s="97">
        <v>192329.0</v>
      </c>
      <c r="B2464" s="208" t="s">
        <v>441</v>
      </c>
      <c r="C2464" s="75"/>
      <c r="D2464" s="76"/>
      <c r="E2464" s="177"/>
    </row>
    <row r="2465" ht="15.75" customHeight="1">
      <c r="A2465" s="101">
        <v>3011.0</v>
      </c>
      <c r="B2465" s="102" t="s">
        <v>22</v>
      </c>
      <c r="C2465" s="39">
        <v>0.0</v>
      </c>
      <c r="D2465" s="22"/>
      <c r="E2465" s="25">
        <f>E2461+1</f>
        <v>230</v>
      </c>
    </row>
    <row r="2466" ht="15.75" customHeight="1">
      <c r="A2466" s="101">
        <v>4010.0</v>
      </c>
      <c r="B2466" s="103" t="s">
        <v>48</v>
      </c>
      <c r="C2466" s="39"/>
      <c r="D2466" s="22">
        <v>35000.0</v>
      </c>
      <c r="E2466" s="25">
        <f t="shared" ref="E2466:E2470" si="411">E2465+1</f>
        <v>231</v>
      </c>
    </row>
    <row r="2467" ht="15.75" customHeight="1">
      <c r="A2467" s="101">
        <v>4076.0</v>
      </c>
      <c r="B2467" s="102" t="s">
        <v>29</v>
      </c>
      <c r="C2467" s="39"/>
      <c r="D2467" s="22">
        <v>10000.0</v>
      </c>
      <c r="E2467" s="25">
        <f t="shared" si="411"/>
        <v>232</v>
      </c>
    </row>
    <row r="2468" ht="15.75" customHeight="1">
      <c r="A2468" s="101">
        <v>5810.0</v>
      </c>
      <c r="B2468" s="102" t="s">
        <v>34</v>
      </c>
      <c r="C2468" s="39"/>
      <c r="D2468" s="22">
        <f>176400</f>
        <v>176400</v>
      </c>
      <c r="E2468" s="25">
        <f t="shared" si="411"/>
        <v>233</v>
      </c>
    </row>
    <row r="2469" ht="15.75" customHeight="1">
      <c r="A2469" s="101">
        <v>5830.0</v>
      </c>
      <c r="B2469" s="102" t="s">
        <v>177</v>
      </c>
      <c r="C2469" s="39"/>
      <c r="D2469" s="22">
        <v>0.0</v>
      </c>
      <c r="E2469" s="25">
        <f t="shared" si="411"/>
        <v>234</v>
      </c>
    </row>
    <row r="2470" ht="15.75" customHeight="1">
      <c r="A2470" s="19">
        <v>6071.0</v>
      </c>
      <c r="B2470" s="174" t="s">
        <v>36</v>
      </c>
      <c r="C2470" s="39"/>
      <c r="D2470" s="22">
        <v>6500.0</v>
      </c>
      <c r="E2470" s="25">
        <f t="shared" si="411"/>
        <v>235</v>
      </c>
    </row>
    <row r="2471" ht="15.75" customHeight="1">
      <c r="A2471" s="101"/>
      <c r="B2471" s="106" t="s">
        <v>19</v>
      </c>
      <c r="C2471" s="31">
        <f t="shared" ref="C2471:D2471" si="412">SUM(C2465:C2470)</f>
        <v>0</v>
      </c>
      <c r="D2471" s="32">
        <f t="shared" si="412"/>
        <v>227900</v>
      </c>
      <c r="E2471" s="25"/>
    </row>
    <row r="2472" ht="15.75" customHeight="1">
      <c r="A2472" s="101"/>
      <c r="B2472" s="136" t="s">
        <v>20</v>
      </c>
      <c r="C2472" s="53"/>
      <c r="D2472" s="32">
        <f>C2471-D2471</f>
        <v>-227900</v>
      </c>
      <c r="E2472" s="40"/>
    </row>
    <row r="2473" ht="15.75" customHeight="1">
      <c r="A2473" s="97">
        <v>192336.0</v>
      </c>
      <c r="B2473" s="208" t="s">
        <v>442</v>
      </c>
      <c r="C2473" s="75"/>
      <c r="D2473" s="76"/>
      <c r="E2473" s="177"/>
    </row>
    <row r="2474" ht="15.75" customHeight="1">
      <c r="A2474" s="163">
        <v>3011.0</v>
      </c>
      <c r="B2474" s="207" t="s">
        <v>443</v>
      </c>
      <c r="C2474" s="39">
        <f>70*100*3</f>
        <v>21000</v>
      </c>
      <c r="D2474" s="22"/>
      <c r="E2474" s="25">
        <f>E2470+1</f>
        <v>236</v>
      </c>
    </row>
    <row r="2475" ht="15.75" customHeight="1">
      <c r="A2475" s="101">
        <v>3030.0</v>
      </c>
      <c r="B2475" s="102" t="s">
        <v>117</v>
      </c>
      <c r="C2475" s="39">
        <f>8000*6*1.13</f>
        <v>54240</v>
      </c>
      <c r="D2475" s="22"/>
      <c r="E2475" s="25">
        <f t="shared" ref="E2475:E2478" si="413">E2474+1</f>
        <v>237</v>
      </c>
    </row>
    <row r="2476" ht="15.75" customHeight="1">
      <c r="A2476" s="101">
        <v>4012.0</v>
      </c>
      <c r="B2476" s="102" t="s">
        <v>118</v>
      </c>
      <c r="C2476" s="39"/>
      <c r="D2476" s="22">
        <f>C2475/1.9</f>
        <v>28547.36842</v>
      </c>
      <c r="E2476" s="25">
        <f t="shared" si="413"/>
        <v>238</v>
      </c>
    </row>
    <row r="2477" ht="15.75" customHeight="1">
      <c r="A2477" s="101">
        <v>4013.0</v>
      </c>
      <c r="B2477" s="102" t="s">
        <v>98</v>
      </c>
      <c r="C2477" s="39"/>
      <c r="D2477" s="57">
        <f>40*15*6</f>
        <v>3600</v>
      </c>
      <c r="E2477" s="25">
        <f t="shared" si="413"/>
        <v>239</v>
      </c>
    </row>
    <row r="2478" ht="15.75" customHeight="1">
      <c r="A2478" s="62">
        <v>6993.0</v>
      </c>
      <c r="B2478" s="98" t="s">
        <v>115</v>
      </c>
      <c r="C2478" s="39"/>
      <c r="D2478" s="57">
        <f>300*5*1.25</f>
        <v>1875</v>
      </c>
      <c r="E2478" s="25">
        <f t="shared" si="413"/>
        <v>240</v>
      </c>
    </row>
    <row r="2479" ht="15.75" customHeight="1">
      <c r="A2479" s="101"/>
      <c r="B2479" s="106" t="s">
        <v>19</v>
      </c>
      <c r="C2479" s="31">
        <f t="shared" ref="C2479:D2479" si="414">SUM(C2474:C2478)</f>
        <v>75240</v>
      </c>
      <c r="D2479" s="32">
        <f t="shared" si="414"/>
        <v>34022.36842</v>
      </c>
      <c r="E2479" s="25"/>
    </row>
    <row r="2480" ht="15.75" customHeight="1">
      <c r="A2480" s="101"/>
      <c r="B2480" s="136" t="s">
        <v>20</v>
      </c>
      <c r="C2480" s="53"/>
      <c r="D2480" s="32">
        <f>C2479-D2479</f>
        <v>41217.63158</v>
      </c>
      <c r="E2480" s="40"/>
    </row>
    <row r="2481" ht="15.75" customHeight="1">
      <c r="A2481" s="97">
        <v>192331.0</v>
      </c>
      <c r="B2481" s="358" t="s">
        <v>444</v>
      </c>
      <c r="C2481" s="75"/>
      <c r="D2481" s="76"/>
      <c r="E2481" s="177"/>
    </row>
    <row r="2482" ht="15.75" hidden="1" customHeight="1">
      <c r="A2482" s="62">
        <v>3011.0</v>
      </c>
      <c r="B2482" s="98" t="s">
        <v>22</v>
      </c>
      <c r="C2482" s="39">
        <v>0.0</v>
      </c>
      <c r="D2482" s="22"/>
      <c r="E2482" s="25">
        <f>E2476+1</f>
        <v>239</v>
      </c>
    </row>
    <row r="2483" ht="15.75" hidden="1" customHeight="1">
      <c r="A2483" s="62">
        <v>4076.0</v>
      </c>
      <c r="B2483" s="98" t="s">
        <v>29</v>
      </c>
      <c r="C2483" s="39"/>
      <c r="D2483" s="22">
        <v>0.0</v>
      </c>
      <c r="E2483" s="25">
        <f>E2482+1</f>
        <v>240</v>
      </c>
    </row>
    <row r="2484" ht="15.75" hidden="1" customHeight="1">
      <c r="A2484" s="62"/>
      <c r="B2484" s="106" t="s">
        <v>19</v>
      </c>
      <c r="C2484" s="31">
        <f t="shared" ref="C2484:D2484" si="415">SUM(C2482:C2483)</f>
        <v>0</v>
      </c>
      <c r="D2484" s="32">
        <f t="shared" si="415"/>
        <v>0</v>
      </c>
      <c r="E2484" s="25"/>
    </row>
    <row r="2485" ht="15.75" hidden="1" customHeight="1">
      <c r="A2485" s="101"/>
      <c r="B2485" s="136" t="s">
        <v>20</v>
      </c>
      <c r="C2485" s="53"/>
      <c r="D2485" s="32">
        <f>C2484-D2484</f>
        <v>0</v>
      </c>
      <c r="E2485" s="40"/>
    </row>
    <row r="2486" ht="15.75" customHeight="1">
      <c r="A2486" s="182">
        <v>192334.0</v>
      </c>
      <c r="B2486" s="361" t="s">
        <v>445</v>
      </c>
      <c r="C2486" s="75"/>
      <c r="D2486" s="76"/>
      <c r="E2486" s="177"/>
    </row>
    <row r="2487" ht="15.75" customHeight="1">
      <c r="A2487" s="152">
        <v>3010.0</v>
      </c>
      <c r="B2487" s="362" t="s">
        <v>2</v>
      </c>
      <c r="C2487" s="39">
        <f>6500</f>
        <v>6500</v>
      </c>
      <c r="D2487" s="22"/>
      <c r="E2487" s="25">
        <f>E2478+1</f>
        <v>241</v>
      </c>
    </row>
    <row r="2488" ht="15.75" customHeight="1">
      <c r="A2488" s="152">
        <v>3011.0</v>
      </c>
      <c r="B2488" s="65" t="s">
        <v>22</v>
      </c>
      <c r="C2488" s="39">
        <v>0.0</v>
      </c>
      <c r="D2488" s="22"/>
      <c r="E2488" s="25">
        <f t="shared" ref="E2488:E2491" si="416">E2487+1</f>
        <v>242</v>
      </c>
    </row>
    <row r="2489" ht="15.75" customHeight="1">
      <c r="A2489" s="363">
        <v>5710.0</v>
      </c>
      <c r="B2489" s="240" t="s">
        <v>143</v>
      </c>
      <c r="C2489" s="39"/>
      <c r="D2489" s="22">
        <f>6500+4500</f>
        <v>11000</v>
      </c>
      <c r="E2489" s="25">
        <f t="shared" si="416"/>
        <v>243</v>
      </c>
    </row>
    <row r="2490" ht="15.75" customHeight="1">
      <c r="A2490" s="152">
        <v>4076.0</v>
      </c>
      <c r="B2490" s="65" t="s">
        <v>29</v>
      </c>
      <c r="C2490" s="39"/>
      <c r="D2490" s="22">
        <f>(75*32)*5+(9.375*32)</f>
        <v>12300</v>
      </c>
      <c r="E2490" s="25">
        <f t="shared" si="416"/>
        <v>244</v>
      </c>
    </row>
    <row r="2491" ht="15.75" customHeight="1">
      <c r="A2491" s="152">
        <v>4078.0</v>
      </c>
      <c r="B2491" s="65" t="s">
        <v>30</v>
      </c>
      <c r="C2491" s="39"/>
      <c r="D2491" s="22">
        <f>4550*2</f>
        <v>9100</v>
      </c>
      <c r="E2491" s="25">
        <f t="shared" si="416"/>
        <v>245</v>
      </c>
    </row>
    <row r="2492" ht="15.75" customHeight="1">
      <c r="A2492" s="219"/>
      <c r="B2492" s="257" t="s">
        <v>19</v>
      </c>
      <c r="C2492" s="31">
        <f t="shared" ref="C2492:D2492" si="417">SUM(C2487:C2491)</f>
        <v>6500</v>
      </c>
      <c r="D2492" s="32">
        <f t="shared" si="417"/>
        <v>32400</v>
      </c>
      <c r="E2492" s="25"/>
    </row>
    <row r="2493" ht="15.75" customHeight="1">
      <c r="A2493" s="220"/>
      <c r="B2493" s="256" t="s">
        <v>20</v>
      </c>
      <c r="C2493" s="53"/>
      <c r="D2493" s="32">
        <f>C2492-D2492</f>
        <v>-25900</v>
      </c>
      <c r="E2493" s="40"/>
    </row>
    <row r="2494" ht="15.75" customHeight="1">
      <c r="A2494" s="202"/>
      <c r="B2494" s="176" t="s">
        <v>446</v>
      </c>
      <c r="C2494" s="341">
        <f t="shared" ref="C2494:D2494" si="418">C2126+C2171+C2196+C2207+C2244+C2276+C2293+C2303+C2318+C2348+C2354+C2379+C2404+C2413+C2422+C2434+C2442+C2450+C2462+C2388+C2328+C2338+C2257+C2166+C2178+C2373+C2479+C2140+C2154+C2396+C2484+C2471+C2216+C2225+C2492+C2268+C2233</f>
        <v>2738430</v>
      </c>
      <c r="D2494" s="342">
        <f t="shared" si="418"/>
        <v>2836755.941</v>
      </c>
      <c r="E2494" s="177"/>
    </row>
    <row r="2495" ht="15.75" customHeight="1">
      <c r="A2495" s="202"/>
      <c r="B2495" s="176" t="s">
        <v>447</v>
      </c>
      <c r="C2495" s="341"/>
      <c r="D2495" s="342">
        <f>C2494-D2494</f>
        <v>-98325.94079</v>
      </c>
      <c r="E2495" s="177"/>
    </row>
    <row r="2496" ht="15.75" customHeight="1">
      <c r="A2496" s="62"/>
      <c r="B2496" s="106"/>
      <c r="C2496" s="64"/>
      <c r="D2496" s="65"/>
      <c r="E2496" s="25"/>
    </row>
    <row r="2497" ht="15.75" customHeight="1">
      <c r="A2497" s="6"/>
      <c r="B2497" s="15" t="s">
        <v>448</v>
      </c>
      <c r="C2497" s="364" t="str">
        <f>#REF!</f>
        <v>#REF!</v>
      </c>
      <c r="D2497" s="5"/>
      <c r="E2497" s="9"/>
    </row>
    <row r="2498" ht="15.75" customHeight="1">
      <c r="A2498" s="97">
        <v>282300.0</v>
      </c>
      <c r="B2498" s="365" t="s">
        <v>141</v>
      </c>
      <c r="C2498" s="12" t="s">
        <v>2</v>
      </c>
      <c r="D2498" s="13" t="s">
        <v>3</v>
      </c>
      <c r="E2498" s="14" t="s">
        <v>4</v>
      </c>
    </row>
    <row r="2499" ht="15.75" customHeight="1">
      <c r="A2499" s="101">
        <v>3031.0</v>
      </c>
      <c r="B2499" s="102" t="s">
        <v>449</v>
      </c>
      <c r="C2499" s="39">
        <f>950000</f>
        <v>950000</v>
      </c>
      <c r="D2499" s="22"/>
      <c r="E2499" s="366">
        <v>1.0</v>
      </c>
    </row>
    <row r="2500" ht="15.75" customHeight="1">
      <c r="A2500" s="101">
        <v>3032.0</v>
      </c>
      <c r="B2500" s="102" t="s">
        <v>450</v>
      </c>
      <c r="C2500" s="39">
        <v>50000.0</v>
      </c>
      <c r="D2500" s="22"/>
      <c r="E2500" s="366">
        <v>2.0</v>
      </c>
    </row>
    <row r="2501" ht="15.75" customHeight="1">
      <c r="A2501" s="101">
        <v>4012.0</v>
      </c>
      <c r="B2501" s="102" t="s">
        <v>118</v>
      </c>
      <c r="C2501" s="39"/>
      <c r="D2501" s="22">
        <f>C2499+C2500/1.25</f>
        <v>990000</v>
      </c>
      <c r="E2501" s="366">
        <v>3.0</v>
      </c>
    </row>
    <row r="2502" ht="15.75" customHeight="1">
      <c r="A2502" s="101">
        <v>4076.0</v>
      </c>
      <c r="B2502" s="102" t="s">
        <v>118</v>
      </c>
      <c r="C2502" s="39"/>
      <c r="D2502" s="29">
        <v>60000.0</v>
      </c>
      <c r="E2502" s="366">
        <v>4.0</v>
      </c>
    </row>
    <row r="2503" ht="15.75" customHeight="1">
      <c r="A2503" s="101">
        <v>4080.0</v>
      </c>
      <c r="B2503" s="102" t="s">
        <v>31</v>
      </c>
      <c r="C2503" s="39"/>
      <c r="D2503" s="22">
        <v>500.0</v>
      </c>
      <c r="E2503" s="366">
        <v>5.0</v>
      </c>
    </row>
    <row r="2504" ht="15.75" customHeight="1">
      <c r="A2504" s="101">
        <v>5460.0</v>
      </c>
      <c r="B2504" s="102" t="s">
        <v>50</v>
      </c>
      <c r="C2504" s="39"/>
      <c r="D2504" s="22">
        <v>30000.0</v>
      </c>
      <c r="E2504" s="366">
        <v>6.0</v>
      </c>
    </row>
    <row r="2505" ht="15.75" customHeight="1">
      <c r="A2505" s="101">
        <v>6991.0</v>
      </c>
      <c r="B2505" s="207" t="s">
        <v>76</v>
      </c>
      <c r="C2505" s="39"/>
      <c r="D2505" s="29">
        <v>0.0</v>
      </c>
      <c r="E2505" s="366">
        <v>7.0</v>
      </c>
    </row>
    <row r="2506" ht="15.75" customHeight="1">
      <c r="A2506" s="101">
        <v>5461.0</v>
      </c>
      <c r="B2506" s="102" t="s">
        <v>84</v>
      </c>
      <c r="C2506" s="39"/>
      <c r="D2506" s="22">
        <f>2000+5000</f>
        <v>7000</v>
      </c>
      <c r="E2506" s="366">
        <v>8.0</v>
      </c>
    </row>
    <row r="2507" ht="15.75" customHeight="1">
      <c r="A2507" s="101">
        <v>5710.0</v>
      </c>
      <c r="B2507" s="102" t="s">
        <v>143</v>
      </c>
      <c r="C2507" s="39"/>
      <c r="D2507" s="22">
        <v>2000.0</v>
      </c>
      <c r="E2507" s="366">
        <v>9.0</v>
      </c>
    </row>
    <row r="2508" ht="15.75" customHeight="1">
      <c r="A2508" s="59"/>
      <c r="B2508" s="60" t="s">
        <v>19</v>
      </c>
      <c r="C2508" s="367">
        <f t="shared" ref="C2508:D2508" si="419">Sum(C2499:C2507)</f>
        <v>1000000</v>
      </c>
      <c r="D2508" s="61">
        <f t="shared" si="419"/>
        <v>1089500</v>
      </c>
      <c r="E2508" s="368"/>
    </row>
    <row r="2509" ht="15.75" customHeight="1">
      <c r="A2509" s="59"/>
      <c r="B2509" s="155" t="s">
        <v>20</v>
      </c>
      <c r="C2509" s="369"/>
      <c r="D2509" s="61">
        <f>C2508-D2508</f>
        <v>-89500</v>
      </c>
      <c r="E2509" s="43"/>
    </row>
    <row r="2510" ht="15.75" customHeight="1">
      <c r="A2510" s="62"/>
      <c r="B2510" s="106"/>
      <c r="C2510" s="64"/>
      <c r="D2510" s="65"/>
      <c r="E2510" s="25"/>
    </row>
    <row r="2511" ht="15.75" hidden="1" customHeight="1">
      <c r="A2511" s="124" t="s">
        <v>451</v>
      </c>
      <c r="B2511" s="176" t="s">
        <v>452</v>
      </c>
      <c r="C2511" s="321"/>
      <c r="D2511" s="322"/>
      <c r="E2511" s="177"/>
    </row>
    <row r="2512" ht="15.75" hidden="1" customHeight="1">
      <c r="A2512" s="101">
        <v>3030.0</v>
      </c>
      <c r="B2512" s="102" t="s">
        <v>117</v>
      </c>
      <c r="C2512" s="39">
        <v>0.0</v>
      </c>
      <c r="D2512" s="22"/>
      <c r="E2512" s="25">
        <f>E2507+1</f>
        <v>10</v>
      </c>
    </row>
    <row r="2513" ht="15.75" hidden="1" customHeight="1">
      <c r="A2513" s="101">
        <v>4990.0</v>
      </c>
      <c r="B2513" s="102" t="s">
        <v>453</v>
      </c>
      <c r="C2513" s="39"/>
      <c r="D2513" s="22">
        <v>0.0</v>
      </c>
      <c r="E2513" s="25">
        <f>E2512+1</f>
        <v>11</v>
      </c>
    </row>
    <row r="2514" ht="15.75" hidden="1" customHeight="1">
      <c r="A2514" s="101"/>
      <c r="B2514" s="106" t="s">
        <v>19</v>
      </c>
      <c r="C2514" s="31">
        <f t="shared" ref="C2514:D2514" si="420">SUM(C2512:C2513)</f>
        <v>0</v>
      </c>
      <c r="D2514" s="32">
        <f t="shared" si="420"/>
        <v>0</v>
      </c>
      <c r="E2514" s="25"/>
    </row>
    <row r="2515" ht="15.75" hidden="1" customHeight="1">
      <c r="A2515" s="101"/>
      <c r="B2515" s="136" t="s">
        <v>20</v>
      </c>
      <c r="C2515" s="53"/>
      <c r="D2515" s="32">
        <f>C2514-D2514</f>
        <v>0</v>
      </c>
      <c r="E2515" s="40"/>
    </row>
    <row r="2516" ht="15.75" hidden="1" customHeight="1">
      <c r="A2516" s="124" t="s">
        <v>454</v>
      </c>
      <c r="B2516" s="176" t="s">
        <v>455</v>
      </c>
      <c r="C2516" s="321"/>
      <c r="D2516" s="322"/>
      <c r="E2516" s="177">
        <v>9.0</v>
      </c>
    </row>
    <row r="2517" ht="15.75" hidden="1" customHeight="1">
      <c r="A2517" s="101">
        <v>3030.0</v>
      </c>
      <c r="B2517" s="102" t="s">
        <v>117</v>
      </c>
      <c r="C2517" s="39">
        <v>0.0</v>
      </c>
      <c r="D2517" s="22"/>
      <c r="E2517" s="25">
        <f>E2513+1</f>
        <v>12</v>
      </c>
    </row>
    <row r="2518" ht="15.75" hidden="1" customHeight="1">
      <c r="A2518" s="101">
        <v>4990.0</v>
      </c>
      <c r="B2518" s="102" t="s">
        <v>453</v>
      </c>
      <c r="C2518" s="39"/>
      <c r="D2518" s="22">
        <v>0.0</v>
      </c>
      <c r="E2518" s="25">
        <f>E2517+1</f>
        <v>13</v>
      </c>
    </row>
    <row r="2519" ht="15.75" hidden="1" customHeight="1">
      <c r="A2519" s="101"/>
      <c r="B2519" s="106" t="s">
        <v>19</v>
      </c>
      <c r="C2519" s="31">
        <f t="shared" ref="C2519:D2519" si="421">SUM(C2517:C2518)</f>
        <v>0</v>
      </c>
      <c r="D2519" s="32">
        <f t="shared" si="421"/>
        <v>0</v>
      </c>
      <c r="E2519" s="25"/>
    </row>
    <row r="2520" ht="15.75" hidden="1" customHeight="1">
      <c r="A2520" s="101"/>
      <c r="B2520" s="136" t="s">
        <v>20</v>
      </c>
      <c r="C2520" s="53"/>
      <c r="D2520" s="32">
        <f>C2519-D2519</f>
        <v>0</v>
      </c>
      <c r="E2520" s="40"/>
    </row>
    <row r="2521" ht="15.75" hidden="1" customHeight="1">
      <c r="A2521" s="124" t="s">
        <v>456</v>
      </c>
      <c r="B2521" s="208" t="s">
        <v>348</v>
      </c>
      <c r="C2521" s="321"/>
      <c r="D2521" s="322"/>
      <c r="E2521" s="177">
        <v>10.0</v>
      </c>
    </row>
    <row r="2522" ht="15.75" hidden="1" customHeight="1">
      <c r="A2522" s="101">
        <v>3030.0</v>
      </c>
      <c r="B2522" s="102" t="s">
        <v>117</v>
      </c>
      <c r="C2522" s="39">
        <v>0.0</v>
      </c>
      <c r="D2522" s="22"/>
      <c r="E2522" s="25">
        <f>E2518+1</f>
        <v>14</v>
      </c>
    </row>
    <row r="2523" ht="15.75" hidden="1" customHeight="1">
      <c r="A2523" s="101">
        <v>4990.0</v>
      </c>
      <c r="B2523" s="102" t="s">
        <v>453</v>
      </c>
      <c r="C2523" s="39"/>
      <c r="D2523" s="22">
        <v>0.0</v>
      </c>
      <c r="E2523" s="25">
        <f>E2522+1</f>
        <v>15</v>
      </c>
    </row>
    <row r="2524" ht="15.75" hidden="1" customHeight="1">
      <c r="A2524" s="101"/>
      <c r="B2524" s="136" t="s">
        <v>19</v>
      </c>
      <c r="C2524" s="31">
        <f t="shared" ref="C2524:D2524" si="422">SUM(C2522:C2523)</f>
        <v>0</v>
      </c>
      <c r="D2524" s="32">
        <f t="shared" si="422"/>
        <v>0</v>
      </c>
      <c r="E2524" s="25"/>
    </row>
    <row r="2525" ht="15.75" hidden="1" customHeight="1">
      <c r="A2525" s="101"/>
      <c r="B2525" s="136" t="s">
        <v>20</v>
      </c>
      <c r="C2525" s="53"/>
      <c r="D2525" s="32">
        <f>C2524-D2524</f>
        <v>0</v>
      </c>
      <c r="E2525" s="40"/>
    </row>
    <row r="2526" ht="15.75" hidden="1" customHeight="1">
      <c r="A2526" s="124" t="s">
        <v>457</v>
      </c>
      <c r="B2526" s="176" t="s">
        <v>412</v>
      </c>
      <c r="C2526" s="321"/>
      <c r="D2526" s="322"/>
      <c r="E2526" s="177">
        <v>11.0</v>
      </c>
    </row>
    <row r="2527" ht="15.75" hidden="1" customHeight="1">
      <c r="A2527" s="101">
        <v>3030.0</v>
      </c>
      <c r="B2527" s="102" t="s">
        <v>117</v>
      </c>
      <c r="C2527" s="39"/>
      <c r="D2527" s="22"/>
      <c r="E2527" s="25">
        <v>14.0</v>
      </c>
    </row>
    <row r="2528" ht="15.75" hidden="1" customHeight="1">
      <c r="A2528" s="101">
        <v>4990.0</v>
      </c>
      <c r="B2528" s="102" t="s">
        <v>453</v>
      </c>
      <c r="C2528" s="39"/>
      <c r="D2528" s="22"/>
      <c r="E2528" s="25">
        <v>15.0</v>
      </c>
    </row>
    <row r="2529" ht="15.75" hidden="1" customHeight="1">
      <c r="A2529" s="101">
        <v>5461.0</v>
      </c>
      <c r="B2529" s="102" t="s">
        <v>84</v>
      </c>
      <c r="C2529" s="39"/>
      <c r="D2529" s="22"/>
      <c r="E2529" s="25">
        <v>16.0</v>
      </c>
    </row>
    <row r="2530" ht="15.75" hidden="1" customHeight="1">
      <c r="A2530" s="101"/>
      <c r="B2530" s="106" t="s">
        <v>19</v>
      </c>
      <c r="C2530" s="31">
        <f t="shared" ref="C2530:D2530" si="423">SUM(C2527:C2529)</f>
        <v>0</v>
      </c>
      <c r="D2530" s="32">
        <f t="shared" si="423"/>
        <v>0</v>
      </c>
      <c r="E2530" s="25"/>
    </row>
    <row r="2531" ht="15.75" hidden="1" customHeight="1">
      <c r="A2531" s="101"/>
      <c r="B2531" s="136" t="s">
        <v>20</v>
      </c>
      <c r="C2531" s="53"/>
      <c r="D2531" s="32">
        <f>C2530-D2530</f>
        <v>0</v>
      </c>
      <c r="E2531" s="40"/>
    </row>
    <row r="2532" ht="15.75" hidden="1" customHeight="1">
      <c r="A2532" s="124" t="s">
        <v>458</v>
      </c>
      <c r="B2532" s="370" t="s">
        <v>459</v>
      </c>
      <c r="C2532" s="321"/>
      <c r="D2532" s="322"/>
      <c r="E2532" s="177"/>
    </row>
    <row r="2533" ht="15.75" hidden="1" customHeight="1">
      <c r="A2533" s="101">
        <v>3030.0</v>
      </c>
      <c r="B2533" s="102" t="s">
        <v>117</v>
      </c>
      <c r="C2533" s="39">
        <v>0.0</v>
      </c>
      <c r="D2533" s="22"/>
      <c r="E2533" s="25">
        <v>17.0</v>
      </c>
    </row>
    <row r="2534" ht="15.75" hidden="1" customHeight="1">
      <c r="A2534" s="101">
        <v>4990.0</v>
      </c>
      <c r="B2534" s="102" t="s">
        <v>453</v>
      </c>
      <c r="C2534" s="39"/>
      <c r="D2534" s="22">
        <v>0.0</v>
      </c>
      <c r="E2534" s="25">
        <v>18.0</v>
      </c>
    </row>
    <row r="2535" ht="15.75" hidden="1" customHeight="1">
      <c r="A2535" s="101"/>
      <c r="B2535" s="106" t="s">
        <v>19</v>
      </c>
      <c r="C2535" s="31">
        <f t="shared" ref="C2535:D2535" si="424">SUM(C2533:C2534)</f>
        <v>0</v>
      </c>
      <c r="D2535" s="32">
        <f t="shared" si="424"/>
        <v>0</v>
      </c>
      <c r="E2535" s="25"/>
    </row>
    <row r="2536" ht="15.75" hidden="1" customHeight="1">
      <c r="A2536" s="101"/>
      <c r="B2536" s="136" t="s">
        <v>20</v>
      </c>
      <c r="C2536" s="53"/>
      <c r="D2536" s="32">
        <f>C2535-D2535</f>
        <v>0</v>
      </c>
      <c r="E2536" s="40"/>
    </row>
    <row r="2537" ht="15.75" hidden="1" customHeight="1">
      <c r="A2537" s="124" t="s">
        <v>460</v>
      </c>
      <c r="B2537" s="208" t="s">
        <v>461</v>
      </c>
      <c r="C2537" s="321"/>
      <c r="D2537" s="322"/>
      <c r="E2537" s="177"/>
    </row>
    <row r="2538" ht="15.75" hidden="1" customHeight="1">
      <c r="A2538" s="101">
        <v>3030.0</v>
      </c>
      <c r="B2538" s="102" t="s">
        <v>117</v>
      </c>
      <c r="C2538" s="39">
        <v>0.0</v>
      </c>
      <c r="D2538" s="22"/>
      <c r="E2538" s="25">
        <v>19.0</v>
      </c>
    </row>
    <row r="2539" ht="15.75" hidden="1" customHeight="1">
      <c r="A2539" s="101">
        <v>4990.0</v>
      </c>
      <c r="B2539" s="102" t="s">
        <v>453</v>
      </c>
      <c r="C2539" s="39"/>
      <c r="D2539" s="22">
        <v>0.0</v>
      </c>
      <c r="E2539" s="25">
        <v>20.0</v>
      </c>
    </row>
    <row r="2540" ht="15.75" hidden="1" customHeight="1">
      <c r="A2540" s="101"/>
      <c r="B2540" s="106" t="s">
        <v>19</v>
      </c>
      <c r="C2540" s="31">
        <f t="shared" ref="C2540:D2540" si="425">SUM(C2538:C2539)</f>
        <v>0</v>
      </c>
      <c r="D2540" s="32">
        <f t="shared" si="425"/>
        <v>0</v>
      </c>
      <c r="E2540" s="25"/>
    </row>
    <row r="2541" ht="15.75" hidden="1" customHeight="1">
      <c r="A2541" s="101"/>
      <c r="B2541" s="136" t="s">
        <v>20</v>
      </c>
      <c r="C2541" s="53"/>
      <c r="D2541" s="32">
        <f>C2540-D2540</f>
        <v>0</v>
      </c>
      <c r="E2541" s="40"/>
    </row>
    <row r="2542" ht="15.75" hidden="1" customHeight="1">
      <c r="A2542" s="124" t="s">
        <v>462</v>
      </c>
      <c r="B2542" s="208" t="s">
        <v>463</v>
      </c>
      <c r="C2542" s="321"/>
      <c r="D2542" s="322"/>
      <c r="E2542" s="177"/>
    </row>
    <row r="2543" ht="15.75" hidden="1" customHeight="1">
      <c r="A2543" s="101">
        <v>3030.0</v>
      </c>
      <c r="B2543" s="102" t="s">
        <v>117</v>
      </c>
      <c r="C2543" s="39">
        <v>0.0</v>
      </c>
      <c r="D2543" s="22"/>
      <c r="E2543" s="25">
        <v>21.0</v>
      </c>
    </row>
    <row r="2544" ht="15.75" hidden="1" customHeight="1">
      <c r="A2544" s="101">
        <v>4990.0</v>
      </c>
      <c r="B2544" s="102" t="s">
        <v>453</v>
      </c>
      <c r="C2544" s="39"/>
      <c r="D2544" s="22">
        <v>0.0</v>
      </c>
      <c r="E2544" s="25">
        <v>22.0</v>
      </c>
    </row>
    <row r="2545" ht="15.75" hidden="1" customHeight="1">
      <c r="A2545" s="101"/>
      <c r="B2545" s="136" t="s">
        <v>464</v>
      </c>
      <c r="C2545" s="31">
        <f t="shared" ref="C2545:D2545" si="426">SUM(C2543:C2544)</f>
        <v>0</v>
      </c>
      <c r="D2545" s="32">
        <f t="shared" si="426"/>
        <v>0</v>
      </c>
      <c r="E2545" s="25"/>
    </row>
    <row r="2546" ht="15.75" hidden="1" customHeight="1">
      <c r="A2546" s="101"/>
      <c r="B2546" s="136" t="s">
        <v>20</v>
      </c>
      <c r="C2546" s="53"/>
      <c r="D2546" s="32">
        <f>C2545-D2545</f>
        <v>0</v>
      </c>
      <c r="E2546" s="40"/>
    </row>
    <row r="2547" ht="15.75" hidden="1" customHeight="1">
      <c r="A2547" s="124" t="s">
        <v>465</v>
      </c>
      <c r="B2547" s="208" t="s">
        <v>422</v>
      </c>
      <c r="C2547" s="321"/>
      <c r="D2547" s="322"/>
      <c r="E2547" s="177"/>
    </row>
    <row r="2548" ht="15.75" hidden="1" customHeight="1">
      <c r="A2548" s="101">
        <v>3030.0</v>
      </c>
      <c r="B2548" s="102" t="s">
        <v>117</v>
      </c>
      <c r="C2548" s="39">
        <v>0.0</v>
      </c>
      <c r="D2548" s="22"/>
      <c r="E2548" s="25">
        <v>23.0</v>
      </c>
    </row>
    <row r="2549" ht="15.75" hidden="1" customHeight="1">
      <c r="A2549" s="101">
        <v>4990.0</v>
      </c>
      <c r="B2549" s="102" t="s">
        <v>453</v>
      </c>
      <c r="C2549" s="39"/>
      <c r="D2549" s="22">
        <v>0.0</v>
      </c>
      <c r="E2549" s="25">
        <v>24.0</v>
      </c>
    </row>
    <row r="2550" ht="15.75" hidden="1" customHeight="1">
      <c r="A2550" s="101"/>
      <c r="B2550" s="106" t="s">
        <v>19</v>
      </c>
      <c r="C2550" s="31">
        <f t="shared" ref="C2550:D2550" si="427">SUM(C2548:C2549)</f>
        <v>0</v>
      </c>
      <c r="D2550" s="32">
        <f t="shared" si="427"/>
        <v>0</v>
      </c>
      <c r="E2550" s="25"/>
    </row>
    <row r="2551" ht="15.75" hidden="1" customHeight="1">
      <c r="A2551" s="101"/>
      <c r="B2551" s="136" t="s">
        <v>20</v>
      </c>
      <c r="C2551" s="53"/>
      <c r="D2551" s="32">
        <f>C2550-D2550</f>
        <v>0</v>
      </c>
      <c r="E2551" s="40"/>
    </row>
    <row r="2552" ht="15.75" hidden="1" customHeight="1">
      <c r="A2552" s="124" t="s">
        <v>466</v>
      </c>
      <c r="B2552" s="176" t="s">
        <v>467</v>
      </c>
      <c r="C2552" s="321"/>
      <c r="D2552" s="322"/>
      <c r="E2552" s="177"/>
    </row>
    <row r="2553" ht="15.75" hidden="1" customHeight="1">
      <c r="A2553" s="101">
        <v>3030.0</v>
      </c>
      <c r="B2553" s="102" t="s">
        <v>117</v>
      </c>
      <c r="C2553" s="39">
        <v>0.0</v>
      </c>
      <c r="D2553" s="22"/>
      <c r="E2553" s="25">
        <v>25.0</v>
      </c>
    </row>
    <row r="2554" ht="15.75" hidden="1" customHeight="1">
      <c r="A2554" s="101">
        <v>4990.0</v>
      </c>
      <c r="B2554" s="102" t="s">
        <v>453</v>
      </c>
      <c r="C2554" s="39"/>
      <c r="D2554" s="22">
        <v>0.0</v>
      </c>
      <c r="E2554" s="25">
        <v>26.0</v>
      </c>
    </row>
    <row r="2555" ht="15.75" hidden="1" customHeight="1">
      <c r="A2555" s="101"/>
      <c r="B2555" s="106" t="s">
        <v>19</v>
      </c>
      <c r="C2555" s="31">
        <f t="shared" ref="C2555:D2555" si="428">SUM(C2553:C2554)</f>
        <v>0</v>
      </c>
      <c r="D2555" s="32">
        <f t="shared" si="428"/>
        <v>0</v>
      </c>
      <c r="E2555" s="25"/>
    </row>
    <row r="2556" ht="15.75" hidden="1" customHeight="1">
      <c r="A2556" s="101"/>
      <c r="B2556" s="136" t="s">
        <v>20</v>
      </c>
      <c r="C2556" s="53"/>
      <c r="D2556" s="32">
        <f>C2555-D2555</f>
        <v>0</v>
      </c>
      <c r="E2556" s="40"/>
    </row>
    <row r="2557" ht="15.75" hidden="1" customHeight="1">
      <c r="A2557" s="124" t="s">
        <v>468</v>
      </c>
      <c r="B2557" s="208" t="s">
        <v>469</v>
      </c>
      <c r="C2557" s="321"/>
      <c r="D2557" s="322"/>
      <c r="E2557" s="177"/>
    </row>
    <row r="2558" ht="15.75" hidden="1" customHeight="1">
      <c r="A2558" s="101">
        <v>3030.0</v>
      </c>
      <c r="B2558" s="102" t="s">
        <v>117</v>
      </c>
      <c r="C2558" s="39">
        <v>0.0</v>
      </c>
      <c r="D2558" s="22"/>
      <c r="E2558" s="25">
        <v>27.0</v>
      </c>
    </row>
    <row r="2559" ht="15.75" hidden="1" customHeight="1">
      <c r="A2559" s="101">
        <v>4990.0</v>
      </c>
      <c r="B2559" s="102" t="s">
        <v>453</v>
      </c>
      <c r="C2559" s="39"/>
      <c r="D2559" s="22">
        <v>0.0</v>
      </c>
      <c r="E2559" s="25">
        <v>28.0</v>
      </c>
    </row>
    <row r="2560" ht="15.75" hidden="1" customHeight="1">
      <c r="A2560" s="101"/>
      <c r="B2560" s="136" t="s">
        <v>19</v>
      </c>
      <c r="C2560" s="31">
        <f t="shared" ref="C2560:D2560" si="429">SUM(C2558:C2559)</f>
        <v>0</v>
      </c>
      <c r="D2560" s="32">
        <f t="shared" si="429"/>
        <v>0</v>
      </c>
      <c r="E2560" s="25"/>
    </row>
    <row r="2561" ht="15.75" hidden="1" customHeight="1">
      <c r="A2561" s="101"/>
      <c r="B2561" s="136" t="s">
        <v>20</v>
      </c>
      <c r="C2561" s="53"/>
      <c r="D2561" s="32">
        <f>C2560-D2560</f>
        <v>0</v>
      </c>
      <c r="E2561" s="40"/>
    </row>
    <row r="2562" ht="15.75" hidden="1" customHeight="1">
      <c r="A2562" s="124" t="s">
        <v>470</v>
      </c>
      <c r="B2562" s="208" t="s">
        <v>471</v>
      </c>
      <c r="C2562" s="321"/>
      <c r="D2562" s="322"/>
      <c r="E2562" s="177"/>
    </row>
    <row r="2563" ht="15.75" hidden="1" customHeight="1">
      <c r="A2563" s="101">
        <v>3030.0</v>
      </c>
      <c r="B2563" s="102" t="s">
        <v>117</v>
      </c>
      <c r="C2563" s="39">
        <v>0.0</v>
      </c>
      <c r="D2563" s="22"/>
      <c r="E2563" s="25">
        <v>29.0</v>
      </c>
    </row>
    <row r="2564" ht="15.75" hidden="1" customHeight="1">
      <c r="A2564" s="101">
        <v>4990.0</v>
      </c>
      <c r="B2564" s="102" t="s">
        <v>453</v>
      </c>
      <c r="C2564" s="39"/>
      <c r="D2564" s="22">
        <v>0.0</v>
      </c>
      <c r="E2564" s="25">
        <v>30.0</v>
      </c>
    </row>
    <row r="2565" ht="15.75" hidden="1" customHeight="1">
      <c r="A2565" s="101"/>
      <c r="B2565" s="136" t="s">
        <v>19</v>
      </c>
      <c r="C2565" s="31">
        <f t="shared" ref="C2565:D2565" si="430">SUM(C2563:C2564)</f>
        <v>0</v>
      </c>
      <c r="D2565" s="32">
        <f t="shared" si="430"/>
        <v>0</v>
      </c>
      <c r="E2565" s="25"/>
    </row>
    <row r="2566" ht="15.75" hidden="1" customHeight="1">
      <c r="A2566" s="101"/>
      <c r="B2566" s="136" t="s">
        <v>20</v>
      </c>
      <c r="C2566" s="53"/>
      <c r="D2566" s="32">
        <f>C2565-D2565</f>
        <v>0</v>
      </c>
      <c r="E2566" s="40"/>
    </row>
    <row r="2567" ht="15.75" hidden="1" customHeight="1">
      <c r="A2567" s="124" t="s">
        <v>472</v>
      </c>
      <c r="B2567" s="176" t="s">
        <v>427</v>
      </c>
      <c r="C2567" s="321"/>
      <c r="D2567" s="322"/>
      <c r="E2567" s="177">
        <v>19.0</v>
      </c>
    </row>
    <row r="2568" ht="15.75" hidden="1" customHeight="1">
      <c r="A2568" s="101">
        <v>3030.0</v>
      </c>
      <c r="B2568" s="102" t="s">
        <v>117</v>
      </c>
      <c r="C2568" s="39">
        <v>0.0</v>
      </c>
      <c r="D2568" s="22"/>
      <c r="E2568" s="25"/>
    </row>
    <row r="2569" ht="15.75" hidden="1" customHeight="1">
      <c r="A2569" s="101">
        <v>4990.0</v>
      </c>
      <c r="B2569" s="102" t="s">
        <v>453</v>
      </c>
      <c r="C2569" s="39"/>
      <c r="D2569" s="22">
        <v>0.0</v>
      </c>
      <c r="E2569" s="25"/>
    </row>
    <row r="2570" ht="15.75" hidden="1" customHeight="1">
      <c r="A2570" s="101"/>
      <c r="B2570" s="106" t="s">
        <v>19</v>
      </c>
      <c r="C2570" s="31">
        <f t="shared" ref="C2570:D2570" si="431">SUM(C2568:C2569)</f>
        <v>0</v>
      </c>
      <c r="D2570" s="32">
        <f t="shared" si="431"/>
        <v>0</v>
      </c>
      <c r="E2570" s="25"/>
    </row>
    <row r="2571" ht="15.75" hidden="1" customHeight="1">
      <c r="A2571" s="101"/>
      <c r="B2571" s="136" t="s">
        <v>20</v>
      </c>
      <c r="C2571" s="53"/>
      <c r="D2571" s="32">
        <f>C2570-D2570</f>
        <v>0</v>
      </c>
      <c r="E2571" s="40"/>
    </row>
    <row r="2572" ht="15.75" hidden="1" customHeight="1">
      <c r="A2572" s="124" t="s">
        <v>473</v>
      </c>
      <c r="B2572" s="176" t="s">
        <v>428</v>
      </c>
      <c r="C2572" s="321"/>
      <c r="D2572" s="322"/>
      <c r="E2572" s="177">
        <v>20.0</v>
      </c>
    </row>
    <row r="2573" ht="15.75" hidden="1" customHeight="1">
      <c r="A2573" s="62">
        <v>3030.0</v>
      </c>
      <c r="B2573" s="98" t="s">
        <v>117</v>
      </c>
      <c r="C2573" s="39">
        <v>0.0</v>
      </c>
      <c r="D2573" s="22"/>
      <c r="E2573" s="25"/>
    </row>
    <row r="2574" ht="15.75" hidden="1" customHeight="1">
      <c r="A2574" s="62">
        <v>4990.0</v>
      </c>
      <c r="B2574" s="102" t="s">
        <v>453</v>
      </c>
      <c r="C2574" s="39"/>
      <c r="D2574" s="22">
        <v>0.0</v>
      </c>
      <c r="E2574" s="25"/>
    </row>
    <row r="2575" ht="15.75" hidden="1" customHeight="1">
      <c r="A2575" s="62"/>
      <c r="B2575" s="106" t="s">
        <v>19</v>
      </c>
      <c r="C2575" s="31">
        <f t="shared" ref="C2575:D2575" si="432">SUM(C2573:C2574)</f>
        <v>0</v>
      </c>
      <c r="D2575" s="32">
        <f t="shared" si="432"/>
        <v>0</v>
      </c>
      <c r="E2575" s="25"/>
    </row>
    <row r="2576" ht="15.75" hidden="1" customHeight="1">
      <c r="A2576" s="101"/>
      <c r="B2576" s="136" t="s">
        <v>20</v>
      </c>
      <c r="C2576" s="53"/>
      <c r="D2576" s="32">
        <f>C2575-D2575</f>
        <v>0</v>
      </c>
      <c r="E2576" s="40"/>
    </row>
    <row r="2577" ht="15.75" hidden="1" customHeight="1">
      <c r="A2577" s="124" t="s">
        <v>474</v>
      </c>
      <c r="B2577" s="176" t="s">
        <v>475</v>
      </c>
      <c r="C2577" s="321"/>
      <c r="D2577" s="322"/>
      <c r="E2577" s="177">
        <v>21.0</v>
      </c>
    </row>
    <row r="2578" ht="15.75" hidden="1" customHeight="1">
      <c r="A2578" s="101">
        <v>3030.0</v>
      </c>
      <c r="B2578" s="102" t="s">
        <v>117</v>
      </c>
      <c r="C2578" s="39">
        <v>0.0</v>
      </c>
      <c r="D2578" s="22"/>
      <c r="E2578" s="25"/>
    </row>
    <row r="2579" ht="15.75" hidden="1" customHeight="1">
      <c r="A2579" s="101">
        <v>4990.0</v>
      </c>
      <c r="B2579" s="102" t="s">
        <v>453</v>
      </c>
      <c r="C2579" s="39"/>
      <c r="D2579" s="22">
        <v>0.0</v>
      </c>
      <c r="E2579" s="25"/>
    </row>
    <row r="2580" ht="15.75" hidden="1" customHeight="1">
      <c r="A2580" s="101"/>
      <c r="B2580" s="106" t="s">
        <v>19</v>
      </c>
      <c r="C2580" s="31">
        <f t="shared" ref="C2580:D2580" si="433">SUM(C2578:C2579)</f>
        <v>0</v>
      </c>
      <c r="D2580" s="32">
        <f t="shared" si="433"/>
        <v>0</v>
      </c>
      <c r="E2580" s="25"/>
    </row>
    <row r="2581" ht="15.75" hidden="1" customHeight="1">
      <c r="A2581" s="101"/>
      <c r="B2581" s="136" t="s">
        <v>20</v>
      </c>
      <c r="C2581" s="53"/>
      <c r="D2581" s="32">
        <f>C2580-D2580</f>
        <v>0</v>
      </c>
      <c r="E2581" s="40"/>
    </row>
    <row r="2582" ht="15.75" hidden="1" customHeight="1">
      <c r="A2582" s="124" t="s">
        <v>476</v>
      </c>
      <c r="B2582" s="176" t="s">
        <v>477</v>
      </c>
      <c r="C2582" s="321"/>
      <c r="D2582" s="322"/>
      <c r="E2582" s="177">
        <v>22.0</v>
      </c>
    </row>
    <row r="2583" ht="15.75" hidden="1" customHeight="1">
      <c r="A2583" s="101">
        <v>3030.0</v>
      </c>
      <c r="B2583" s="102" t="s">
        <v>117</v>
      </c>
      <c r="C2583" s="39">
        <v>0.0</v>
      </c>
      <c r="D2583" s="22"/>
      <c r="E2583" s="25"/>
    </row>
    <row r="2584" ht="15.75" hidden="1" customHeight="1">
      <c r="A2584" s="101">
        <v>4990.0</v>
      </c>
      <c r="B2584" s="102" t="s">
        <v>453</v>
      </c>
      <c r="C2584" s="39"/>
      <c r="D2584" s="22">
        <v>0.0</v>
      </c>
      <c r="E2584" s="25"/>
    </row>
    <row r="2585" ht="15.75" hidden="1" customHeight="1">
      <c r="A2585" s="101"/>
      <c r="B2585" s="106" t="s">
        <v>19</v>
      </c>
      <c r="C2585" s="31">
        <f t="shared" ref="C2585:D2585" si="434">SUM(C2583:C2584)</f>
        <v>0</v>
      </c>
      <c r="D2585" s="32">
        <f t="shared" si="434"/>
        <v>0</v>
      </c>
      <c r="E2585" s="25"/>
    </row>
    <row r="2586" ht="15.75" hidden="1" customHeight="1">
      <c r="A2586" s="101"/>
      <c r="B2586" s="136" t="s">
        <v>20</v>
      </c>
      <c r="C2586" s="53"/>
      <c r="D2586" s="32">
        <f>C2585-D2585</f>
        <v>0</v>
      </c>
      <c r="E2586" s="40"/>
    </row>
    <row r="2587" ht="15.75" hidden="1" customHeight="1">
      <c r="A2587" s="124" t="s">
        <v>478</v>
      </c>
      <c r="B2587" s="176" t="s">
        <v>479</v>
      </c>
      <c r="C2587" s="321"/>
      <c r="D2587" s="322"/>
      <c r="E2587" s="177">
        <f>E2582+1</f>
        <v>23</v>
      </c>
    </row>
    <row r="2588" ht="15.75" hidden="1" customHeight="1">
      <c r="A2588" s="101">
        <v>3030.0</v>
      </c>
      <c r="B2588" s="102" t="s">
        <v>117</v>
      </c>
      <c r="C2588" s="39">
        <v>0.0</v>
      </c>
      <c r="D2588" s="22"/>
      <c r="E2588" s="25"/>
    </row>
    <row r="2589" ht="15.75" hidden="1" customHeight="1">
      <c r="A2589" s="101">
        <v>4990.0</v>
      </c>
      <c r="B2589" s="102" t="s">
        <v>453</v>
      </c>
      <c r="C2589" s="39"/>
      <c r="D2589" s="22">
        <v>0.0</v>
      </c>
      <c r="E2589" s="25"/>
    </row>
    <row r="2590" ht="15.75" hidden="1" customHeight="1">
      <c r="A2590" s="101"/>
      <c r="B2590" s="106" t="s">
        <v>19</v>
      </c>
      <c r="C2590" s="31">
        <f t="shared" ref="C2590:D2590" si="435">SUM(C2588:C2589)</f>
        <v>0</v>
      </c>
      <c r="D2590" s="32">
        <f t="shared" si="435"/>
        <v>0</v>
      </c>
      <c r="E2590" s="25"/>
    </row>
    <row r="2591" ht="15.75" hidden="1" customHeight="1">
      <c r="A2591" s="101"/>
      <c r="B2591" s="136" t="s">
        <v>20</v>
      </c>
      <c r="C2591" s="53"/>
      <c r="D2591" s="32">
        <f>C2590-D2590</f>
        <v>0</v>
      </c>
      <c r="E2591" s="40"/>
    </row>
    <row r="2592" ht="15.75" hidden="1" customHeight="1">
      <c r="A2592" s="124" t="s">
        <v>478</v>
      </c>
      <c r="B2592" s="208" t="s">
        <v>480</v>
      </c>
      <c r="C2592" s="321"/>
      <c r="D2592" s="322"/>
      <c r="E2592" s="177">
        <f>E2587+1</f>
        <v>24</v>
      </c>
    </row>
    <row r="2593" ht="15.75" hidden="1" customHeight="1">
      <c r="A2593" s="101">
        <v>3030.0</v>
      </c>
      <c r="B2593" s="102" t="s">
        <v>117</v>
      </c>
      <c r="C2593" s="39"/>
      <c r="D2593" s="22"/>
      <c r="E2593" s="25"/>
    </row>
    <row r="2594" ht="15.75" hidden="1" customHeight="1">
      <c r="A2594" s="101">
        <v>4990.0</v>
      </c>
      <c r="B2594" s="102" t="s">
        <v>453</v>
      </c>
      <c r="C2594" s="39"/>
      <c r="D2594" s="22"/>
      <c r="E2594" s="25"/>
    </row>
    <row r="2595" ht="15.75" hidden="1" customHeight="1">
      <c r="A2595" s="101"/>
      <c r="B2595" s="106" t="s">
        <v>19</v>
      </c>
      <c r="C2595" s="31">
        <f t="shared" ref="C2595:D2595" si="436">SUM(C2593:C2594)</f>
        <v>0</v>
      </c>
      <c r="D2595" s="32">
        <f t="shared" si="436"/>
        <v>0</v>
      </c>
      <c r="E2595" s="25"/>
    </row>
    <row r="2596" ht="15.75" hidden="1" customHeight="1">
      <c r="A2596" s="101"/>
      <c r="B2596" s="136" t="s">
        <v>20</v>
      </c>
      <c r="C2596" s="53"/>
      <c r="D2596" s="32">
        <f>C2595-D2595</f>
        <v>0</v>
      </c>
      <c r="E2596" s="40"/>
    </row>
    <row r="2597" ht="15.75" hidden="1" customHeight="1">
      <c r="A2597" s="124" t="s">
        <v>481</v>
      </c>
      <c r="B2597" s="370" t="s">
        <v>437</v>
      </c>
      <c r="C2597" s="321"/>
      <c r="D2597" s="322"/>
      <c r="E2597" s="177">
        <f>E2592+1</f>
        <v>25</v>
      </c>
    </row>
    <row r="2598" ht="15.75" hidden="1" customHeight="1">
      <c r="A2598" s="101">
        <v>3030.0</v>
      </c>
      <c r="B2598" s="102" t="s">
        <v>117</v>
      </c>
      <c r="C2598" s="39">
        <v>0.0</v>
      </c>
      <c r="D2598" s="22"/>
      <c r="E2598" s="25"/>
    </row>
    <row r="2599" ht="15.75" hidden="1" customHeight="1">
      <c r="A2599" s="101">
        <v>4990.0</v>
      </c>
      <c r="B2599" s="102" t="s">
        <v>453</v>
      </c>
      <c r="C2599" s="39"/>
      <c r="D2599" s="22">
        <v>0.0</v>
      </c>
      <c r="E2599" s="25"/>
    </row>
    <row r="2600" ht="15.75" hidden="1" customHeight="1">
      <c r="A2600" s="101"/>
      <c r="B2600" s="106" t="s">
        <v>19</v>
      </c>
      <c r="C2600" s="31">
        <f t="shared" ref="C2600:D2600" si="437">SUM(C2598:C2599)</f>
        <v>0</v>
      </c>
      <c r="D2600" s="32">
        <f t="shared" si="437"/>
        <v>0</v>
      </c>
      <c r="E2600" s="25"/>
    </row>
    <row r="2601" ht="15.75" hidden="1" customHeight="1">
      <c r="A2601" s="101"/>
      <c r="B2601" s="136" t="s">
        <v>20</v>
      </c>
      <c r="C2601" s="53"/>
      <c r="D2601" s="32">
        <f>C2600-D2600</f>
        <v>0</v>
      </c>
      <c r="E2601" s="40"/>
    </row>
    <row r="2602" ht="15.75" hidden="1" customHeight="1">
      <c r="A2602" s="124" t="s">
        <v>482</v>
      </c>
      <c r="B2602" s="208" t="s">
        <v>442</v>
      </c>
      <c r="C2602" s="321"/>
      <c r="D2602" s="322"/>
      <c r="E2602" s="177">
        <f>E2597+1</f>
        <v>26</v>
      </c>
    </row>
    <row r="2603" ht="15.75" hidden="1" customHeight="1">
      <c r="A2603" s="101">
        <v>3030.0</v>
      </c>
      <c r="B2603" s="102" t="s">
        <v>117</v>
      </c>
      <c r="C2603" s="39">
        <v>0.0</v>
      </c>
      <c r="D2603" s="22"/>
      <c r="E2603" s="25"/>
    </row>
    <row r="2604" ht="15.75" hidden="1" customHeight="1">
      <c r="A2604" s="101">
        <v>4990.0</v>
      </c>
      <c r="B2604" s="102" t="s">
        <v>453</v>
      </c>
      <c r="C2604" s="39"/>
      <c r="D2604" s="22">
        <v>0.0</v>
      </c>
      <c r="E2604" s="25"/>
    </row>
    <row r="2605" ht="15.75" hidden="1" customHeight="1">
      <c r="A2605" s="101"/>
      <c r="B2605" s="136" t="s">
        <v>19</v>
      </c>
      <c r="C2605" s="31">
        <f t="shared" ref="C2605:D2605" si="438">SUM(C2603:C2604)</f>
        <v>0</v>
      </c>
      <c r="D2605" s="32">
        <f t="shared" si="438"/>
        <v>0</v>
      </c>
      <c r="E2605" s="25"/>
    </row>
    <row r="2606" ht="15.75" hidden="1" customHeight="1">
      <c r="A2606" s="101"/>
      <c r="B2606" s="136" t="s">
        <v>20</v>
      </c>
      <c r="C2606" s="53"/>
      <c r="D2606" s="32">
        <f>C2605-D2605</f>
        <v>0</v>
      </c>
      <c r="E2606" s="40"/>
    </row>
    <row r="2607" ht="15.75" hidden="1" customHeight="1">
      <c r="A2607" s="10"/>
      <c r="B2607" s="126" t="s">
        <v>483</v>
      </c>
      <c r="C2607" s="41">
        <f t="shared" ref="C2607:D2607" si="439">C2524+C2595+C2580+C2575+C2570+C2550+C2545+C2540+C2535+C2530+C2555+C2585+C2600+C2508+C2560+C2565+C2605+C2519+C2514+C2590</f>
        <v>1000000</v>
      </c>
      <c r="D2607" s="61">
        <f t="shared" si="439"/>
        <v>1089500</v>
      </c>
      <c r="E2607" s="37"/>
    </row>
    <row r="2608" ht="15.75" hidden="1" customHeight="1">
      <c r="A2608" s="10"/>
      <c r="B2608" s="126" t="s">
        <v>484</v>
      </c>
      <c r="C2608" s="12"/>
      <c r="D2608" s="13">
        <f>C2607-D2607</f>
        <v>-89500</v>
      </c>
      <c r="E2608" s="37"/>
    </row>
    <row r="2609" ht="15.75" hidden="1" customHeight="1">
      <c r="A2609" s="62"/>
      <c r="B2609" s="106"/>
      <c r="C2609" s="64"/>
      <c r="D2609" s="65"/>
      <c r="E2609" s="25"/>
    </row>
    <row r="2610" ht="15.75" hidden="1" customHeight="1">
      <c r="A2610" s="62"/>
      <c r="B2610" s="106"/>
      <c r="C2610" s="64"/>
      <c r="D2610" s="65"/>
      <c r="E2610" s="25"/>
    </row>
    <row r="2611" ht="15.75" customHeight="1">
      <c r="A2611" s="6"/>
      <c r="B2611" s="15" t="s">
        <v>485</v>
      </c>
      <c r="C2611" s="16" t="s">
        <v>6</v>
      </c>
      <c r="D2611" s="5"/>
      <c r="E2611" s="9"/>
    </row>
    <row r="2612" ht="15.75" customHeight="1">
      <c r="A2612" s="97">
        <v>202300.0</v>
      </c>
      <c r="B2612" s="176" t="s">
        <v>486</v>
      </c>
      <c r="C2612" s="12" t="s">
        <v>2</v>
      </c>
      <c r="D2612" s="13" t="s">
        <v>3</v>
      </c>
      <c r="E2612" s="14" t="s">
        <v>4</v>
      </c>
    </row>
    <row r="2613" ht="15.75" customHeight="1">
      <c r="A2613" s="163">
        <v>3010.0</v>
      </c>
      <c r="B2613" s="207" t="s">
        <v>111</v>
      </c>
      <c r="C2613" s="39">
        <v>80000.0</v>
      </c>
      <c r="D2613" s="22"/>
      <c r="E2613" s="25">
        <v>1.0</v>
      </c>
    </row>
    <row r="2614" ht="15.75" customHeight="1">
      <c r="A2614" s="101">
        <v>4010.0</v>
      </c>
      <c r="B2614" s="102" t="s">
        <v>48</v>
      </c>
      <c r="C2614" s="39"/>
      <c r="D2614" s="22">
        <v>0.0</v>
      </c>
      <c r="E2614" s="25">
        <f>E2613+1</f>
        <v>2</v>
      </c>
    </row>
    <row r="2615" ht="15.75" customHeight="1">
      <c r="A2615" s="108">
        <v>4040.0</v>
      </c>
      <c r="B2615" s="104" t="s">
        <v>24</v>
      </c>
      <c r="C2615" s="39"/>
      <c r="D2615" s="29">
        <f>2*100</f>
        <v>200</v>
      </c>
      <c r="E2615" s="25">
        <v>3.0</v>
      </c>
    </row>
    <row r="2616" ht="15.75" customHeight="1">
      <c r="A2616" s="62">
        <v>4042.0</v>
      </c>
      <c r="B2616" s="100" t="s">
        <v>67</v>
      </c>
      <c r="C2616" s="39"/>
      <c r="D2616" s="22">
        <v>1000.0</v>
      </c>
      <c r="E2616" s="25">
        <v>4.0</v>
      </c>
    </row>
    <row r="2617" ht="15.75" customHeight="1">
      <c r="A2617" s="62">
        <v>4047.0</v>
      </c>
      <c r="B2617" s="98" t="s">
        <v>14</v>
      </c>
      <c r="C2617" s="39"/>
      <c r="D2617" s="22">
        <v>0.0</v>
      </c>
      <c r="E2617" s="25">
        <v>5.0</v>
      </c>
    </row>
    <row r="2618" ht="15.75" customHeight="1">
      <c r="A2618" s="99">
        <v>4050.0</v>
      </c>
      <c r="B2618" s="100" t="s">
        <v>42</v>
      </c>
      <c r="C2618" s="39"/>
      <c r="D2618" s="22">
        <f>sumif($A$2612:$A$2799,"=4190",D2612:D2799)*0.3</f>
        <v>9570</v>
      </c>
      <c r="E2618" s="25">
        <f t="shared" ref="E2618:E2622" si="440">E2617+1</f>
        <v>6</v>
      </c>
    </row>
    <row r="2619" ht="15.75" customHeight="1">
      <c r="A2619" s="62">
        <v>4060.0</v>
      </c>
      <c r="B2619" s="98" t="s">
        <v>27</v>
      </c>
      <c r="C2619" s="39"/>
      <c r="D2619" s="22">
        <f>6*550+6*80+50*6</f>
        <v>4080</v>
      </c>
      <c r="E2619" s="25">
        <f t="shared" si="440"/>
        <v>7</v>
      </c>
    </row>
    <row r="2620" ht="15.75" customHeight="1">
      <c r="A2620" s="62">
        <v>4063.0</v>
      </c>
      <c r="B2620" s="98" t="s">
        <v>70</v>
      </c>
      <c r="C2620" s="39"/>
      <c r="D2620" s="22">
        <v>800.0</v>
      </c>
      <c r="E2620" s="25">
        <f t="shared" si="440"/>
        <v>8</v>
      </c>
    </row>
    <row r="2621" ht="15.75" customHeight="1">
      <c r="A2621" s="62">
        <v>4065.0</v>
      </c>
      <c r="B2621" s="98" t="s">
        <v>16</v>
      </c>
      <c r="C2621" s="39"/>
      <c r="D2621" s="29">
        <v>1000.0</v>
      </c>
      <c r="E2621" s="25">
        <f t="shared" si="440"/>
        <v>9</v>
      </c>
    </row>
    <row r="2622" ht="15.75" hidden="1" customHeight="1">
      <c r="A2622" s="62">
        <v>4070.0</v>
      </c>
      <c r="B2622" s="98" t="s">
        <v>28</v>
      </c>
      <c r="C2622" s="39"/>
      <c r="D2622" s="22">
        <v>0.0</v>
      </c>
      <c r="E2622" s="25">
        <f t="shared" si="440"/>
        <v>10</v>
      </c>
    </row>
    <row r="2623" ht="15.75" customHeight="1">
      <c r="A2623" s="108">
        <v>4076.0</v>
      </c>
      <c r="B2623" s="127" t="s">
        <v>487</v>
      </c>
      <c r="C2623" s="39"/>
      <c r="D2623" s="22">
        <f>30*100</f>
        <v>3000</v>
      </c>
      <c r="E2623" s="25">
        <v>11.0</v>
      </c>
    </row>
    <row r="2624" ht="15.75" customHeight="1">
      <c r="A2624" s="62">
        <v>4080.0</v>
      </c>
      <c r="B2624" s="98" t="s">
        <v>31</v>
      </c>
      <c r="C2624" s="39"/>
      <c r="D2624" s="22">
        <v>4000.0</v>
      </c>
      <c r="E2624" s="25">
        <v>12.0</v>
      </c>
    </row>
    <row r="2625" ht="15.75" customHeight="1">
      <c r="A2625" s="62">
        <v>4081.0</v>
      </c>
      <c r="B2625" s="103" t="s">
        <v>44</v>
      </c>
      <c r="C2625" s="39"/>
      <c r="D2625" s="22">
        <v>4000.0</v>
      </c>
      <c r="E2625" s="25">
        <f t="shared" ref="E2625:E2632" si="441">E2624+1</f>
        <v>13</v>
      </c>
    </row>
    <row r="2626" ht="15.75" customHeight="1">
      <c r="A2626" s="62">
        <v>4082.0</v>
      </c>
      <c r="B2626" s="98" t="s">
        <v>45</v>
      </c>
      <c r="C2626" s="39"/>
      <c r="D2626" s="22">
        <f>400+300*5</f>
        <v>1900</v>
      </c>
      <c r="E2626" s="25">
        <f t="shared" si="441"/>
        <v>14</v>
      </c>
    </row>
    <row r="2627" ht="15.75" customHeight="1">
      <c r="A2627" s="62">
        <v>4190.0</v>
      </c>
      <c r="B2627" s="98" t="s">
        <v>32</v>
      </c>
      <c r="C2627" s="39"/>
      <c r="D2627" s="22">
        <f>1000+5*800+100*2</f>
        <v>5200</v>
      </c>
      <c r="E2627" s="25">
        <f t="shared" si="441"/>
        <v>15</v>
      </c>
    </row>
    <row r="2628" ht="15.75" customHeight="1">
      <c r="A2628" s="62">
        <v>5050.0</v>
      </c>
      <c r="B2628" s="98" t="s">
        <v>33</v>
      </c>
      <c r="C2628" s="39"/>
      <c r="D2628" s="22">
        <v>2500.0</v>
      </c>
      <c r="E2628" s="25">
        <f t="shared" si="441"/>
        <v>16</v>
      </c>
    </row>
    <row r="2629" ht="15.75" customHeight="1">
      <c r="A2629" s="108">
        <v>5810.0</v>
      </c>
      <c r="B2629" s="127" t="s">
        <v>34</v>
      </c>
      <c r="C2629" s="39"/>
      <c r="D2629" s="29">
        <v>500.0</v>
      </c>
      <c r="E2629" s="25">
        <f t="shared" si="441"/>
        <v>17</v>
      </c>
    </row>
    <row r="2630" ht="15.75" customHeight="1">
      <c r="A2630" s="62">
        <v>6211.0</v>
      </c>
      <c r="B2630" s="98" t="s">
        <v>73</v>
      </c>
      <c r="C2630" s="39"/>
      <c r="D2630" s="22">
        <v>0.0</v>
      </c>
      <c r="E2630" s="25">
        <f t="shared" si="441"/>
        <v>18</v>
      </c>
    </row>
    <row r="2631" ht="15.75" customHeight="1">
      <c r="A2631" s="62">
        <v>6070.0</v>
      </c>
      <c r="B2631" s="100" t="s">
        <v>35</v>
      </c>
      <c r="C2631" s="39"/>
      <c r="D2631" s="22">
        <v>0.0</v>
      </c>
      <c r="E2631" s="25">
        <f t="shared" si="441"/>
        <v>19</v>
      </c>
    </row>
    <row r="2632" ht="15.75" customHeight="1">
      <c r="A2632" s="62">
        <v>6074.0</v>
      </c>
      <c r="B2632" s="98" t="s">
        <v>38</v>
      </c>
      <c r="C2632" s="39"/>
      <c r="D2632" s="22">
        <f>6*11500</f>
        <v>69000</v>
      </c>
      <c r="E2632" s="25">
        <f t="shared" si="441"/>
        <v>20</v>
      </c>
    </row>
    <row r="2633" ht="15.75" customHeight="1">
      <c r="A2633" s="62"/>
      <c r="B2633" s="106" t="s">
        <v>19</v>
      </c>
      <c r="C2633" s="31">
        <f t="shared" ref="C2633:D2633" si="442">SUM(C2613:C2632)</f>
        <v>80000</v>
      </c>
      <c r="D2633" s="32">
        <f t="shared" si="442"/>
        <v>106750</v>
      </c>
      <c r="E2633" s="25"/>
    </row>
    <row r="2634" ht="15.75" customHeight="1">
      <c r="A2634" s="101"/>
      <c r="B2634" s="136" t="s">
        <v>20</v>
      </c>
      <c r="C2634" s="53"/>
      <c r="D2634" s="32">
        <f>C2633-D2633</f>
        <v>-26750</v>
      </c>
      <c r="E2634" s="40"/>
    </row>
    <row r="2635" ht="15.75" customHeight="1">
      <c r="A2635" s="97">
        <v>202301.0</v>
      </c>
      <c r="B2635" s="126" t="s">
        <v>488</v>
      </c>
      <c r="C2635" s="35"/>
      <c r="D2635" s="36"/>
      <c r="E2635" s="37"/>
    </row>
    <row r="2636" ht="15.75" customHeight="1">
      <c r="A2636" s="62">
        <v>3130.0</v>
      </c>
      <c r="B2636" s="98" t="s">
        <v>489</v>
      </c>
      <c r="C2636" s="39">
        <v>329000.0</v>
      </c>
      <c r="D2636" s="22"/>
      <c r="E2636" s="25">
        <f>E2632+1</f>
        <v>21</v>
      </c>
    </row>
    <row r="2637" ht="15.75" customHeight="1">
      <c r="A2637" s="62">
        <v>4070.0</v>
      </c>
      <c r="B2637" s="98" t="s">
        <v>28</v>
      </c>
      <c r="C2637" s="39"/>
      <c r="D2637" s="22">
        <f>(10*10*85)+(9*3*85)+(5*10*100)</f>
        <v>15795</v>
      </c>
      <c r="E2637" s="25">
        <f t="shared" ref="E2637:E2642" si="443">E2636+1</f>
        <v>22</v>
      </c>
    </row>
    <row r="2638" ht="15.75" customHeight="1">
      <c r="A2638" s="62">
        <v>4076.0</v>
      </c>
      <c r="B2638" s="98" t="s">
        <v>29</v>
      </c>
      <c r="C2638" s="39"/>
      <c r="D2638" s="22">
        <f>1000</f>
        <v>1000</v>
      </c>
      <c r="E2638" s="25">
        <f t="shared" si="443"/>
        <v>23</v>
      </c>
    </row>
    <row r="2639" ht="15.75" customHeight="1">
      <c r="A2639" s="62">
        <v>4060.0</v>
      </c>
      <c r="B2639" s="98" t="s">
        <v>27</v>
      </c>
      <c r="C2639" s="39"/>
      <c r="D2639" s="22">
        <f>200*32+12*200+50*44</f>
        <v>11000</v>
      </c>
      <c r="E2639" s="25">
        <f t="shared" si="443"/>
        <v>24</v>
      </c>
    </row>
    <row r="2640" ht="15.75" customHeight="1">
      <c r="A2640" s="108">
        <v>4082.0</v>
      </c>
      <c r="B2640" s="127" t="s">
        <v>45</v>
      </c>
      <c r="C2640" s="39"/>
      <c r="D2640" s="22">
        <f>32*200+100*12</f>
        <v>7600</v>
      </c>
      <c r="E2640" s="25">
        <f t="shared" si="443"/>
        <v>25</v>
      </c>
    </row>
    <row r="2641" ht="15.75" customHeight="1">
      <c r="A2641" s="62">
        <v>4190.0</v>
      </c>
      <c r="B2641" s="98" t="s">
        <v>32</v>
      </c>
      <c r="C2641" s="39"/>
      <c r="D2641" s="22">
        <f>32*500+12*300+55*100</f>
        <v>25100</v>
      </c>
      <c r="E2641" s="25">
        <f t="shared" si="443"/>
        <v>26</v>
      </c>
    </row>
    <row r="2642" ht="15.75" customHeight="1">
      <c r="A2642" s="62">
        <v>6070.0</v>
      </c>
      <c r="B2642" s="98" t="s">
        <v>35</v>
      </c>
      <c r="C2642" s="39"/>
      <c r="D2642" s="22">
        <f>1500*5+2400*4+1200+2100*4+1400</f>
        <v>28100</v>
      </c>
      <c r="E2642" s="25">
        <f t="shared" si="443"/>
        <v>27</v>
      </c>
    </row>
    <row r="2643" ht="15.75" customHeight="1">
      <c r="A2643" s="62"/>
      <c r="B2643" s="106" t="s">
        <v>19</v>
      </c>
      <c r="C2643" s="31">
        <f t="shared" ref="C2643:D2643" si="444">SUM(C2636:C2642)</f>
        <v>329000</v>
      </c>
      <c r="D2643" s="32">
        <f t="shared" si="444"/>
        <v>88595</v>
      </c>
      <c r="E2643" s="25"/>
    </row>
    <row r="2644" ht="15.75" customHeight="1">
      <c r="A2644" s="101"/>
      <c r="B2644" s="136" t="s">
        <v>20</v>
      </c>
      <c r="C2644" s="53"/>
      <c r="D2644" s="32">
        <f>C2643-D2643</f>
        <v>240405</v>
      </c>
      <c r="E2644" s="40"/>
    </row>
    <row r="2645" ht="15.75" customHeight="1">
      <c r="A2645" s="97">
        <v>202302.0</v>
      </c>
      <c r="B2645" s="126" t="s">
        <v>490</v>
      </c>
      <c r="C2645" s="35"/>
      <c r="D2645" s="36"/>
      <c r="E2645" s="37"/>
    </row>
    <row r="2646" ht="15.75" customHeight="1">
      <c r="A2646" s="62">
        <v>4040.0</v>
      </c>
      <c r="B2646" s="98" t="s">
        <v>24</v>
      </c>
      <c r="C2646" s="39"/>
      <c r="D2646" s="22">
        <f>2*200</f>
        <v>400</v>
      </c>
      <c r="E2646" s="25">
        <f>E2642+1</f>
        <v>28</v>
      </c>
    </row>
    <row r="2647" ht="15.75" customHeight="1">
      <c r="A2647" s="62">
        <v>4047.0</v>
      </c>
      <c r="B2647" s="98" t="s">
        <v>14</v>
      </c>
      <c r="C2647" s="39"/>
      <c r="D2647" s="29">
        <v>350.0</v>
      </c>
      <c r="E2647" s="25">
        <f t="shared" ref="E2647:E2648" si="445">E2646+1</f>
        <v>29</v>
      </c>
    </row>
    <row r="2648" ht="15.75" customHeight="1">
      <c r="A2648" s="62">
        <v>4076.0</v>
      </c>
      <c r="B2648" s="98" t="s">
        <v>29</v>
      </c>
      <c r="C2648" s="39"/>
      <c r="D2648" s="22">
        <f>2*70*75</f>
        <v>10500</v>
      </c>
      <c r="E2648" s="25">
        <f t="shared" si="445"/>
        <v>30</v>
      </c>
    </row>
    <row r="2649" ht="15.75" customHeight="1">
      <c r="A2649" s="62"/>
      <c r="B2649" s="106" t="s">
        <v>19</v>
      </c>
      <c r="C2649" s="31">
        <f t="shared" ref="C2649:D2649" si="446">SUM(C2646:C2648)</f>
        <v>0</v>
      </c>
      <c r="D2649" s="32">
        <f t="shared" si="446"/>
        <v>11250</v>
      </c>
      <c r="E2649" s="25"/>
    </row>
    <row r="2650" ht="15.75" customHeight="1">
      <c r="A2650" s="101"/>
      <c r="B2650" s="136" t="s">
        <v>20</v>
      </c>
      <c r="C2650" s="39"/>
      <c r="D2650" s="32">
        <f>C2649-D2649</f>
        <v>-11250</v>
      </c>
      <c r="E2650" s="40"/>
    </row>
    <row r="2651" ht="15.75" customHeight="1">
      <c r="A2651" s="97">
        <v>202303.0</v>
      </c>
      <c r="B2651" s="126" t="s">
        <v>491</v>
      </c>
      <c r="C2651" s="35"/>
      <c r="D2651" s="36"/>
      <c r="E2651" s="37"/>
    </row>
    <row r="2652" ht="15.75" customHeight="1">
      <c r="A2652" s="62">
        <v>4040.0</v>
      </c>
      <c r="B2652" s="98" t="s">
        <v>24</v>
      </c>
      <c r="C2652" s="39"/>
      <c r="D2652" s="22">
        <v>300.0</v>
      </c>
      <c r="E2652" s="25">
        <f>E2648+1</f>
        <v>31</v>
      </c>
    </row>
    <row r="2653" ht="15.75" customHeight="1">
      <c r="A2653" s="62">
        <v>4047.0</v>
      </c>
      <c r="B2653" s="98" t="s">
        <v>14</v>
      </c>
      <c r="C2653" s="39"/>
      <c r="D2653" s="22">
        <v>0.0</v>
      </c>
      <c r="E2653" s="25">
        <f t="shared" ref="E2653:E2656" si="447">E2652+1</f>
        <v>32</v>
      </c>
    </row>
    <row r="2654" ht="15.75" customHeight="1">
      <c r="A2654" s="62">
        <v>4076.0</v>
      </c>
      <c r="B2654" s="98" t="s">
        <v>29</v>
      </c>
      <c r="C2654" s="39"/>
      <c r="D2654" s="22">
        <f>3*150</f>
        <v>450</v>
      </c>
      <c r="E2654" s="25">
        <f t="shared" si="447"/>
        <v>33</v>
      </c>
    </row>
    <row r="2655" ht="15.75" customHeight="1">
      <c r="A2655" s="62">
        <v>5810.0</v>
      </c>
      <c r="B2655" s="98" t="s">
        <v>34</v>
      </c>
      <c r="C2655" s="39"/>
      <c r="D2655" s="22">
        <f>750*3</f>
        <v>2250</v>
      </c>
      <c r="E2655" s="25">
        <f t="shared" si="447"/>
        <v>34</v>
      </c>
    </row>
    <row r="2656" ht="15.75" customHeight="1">
      <c r="A2656" s="62">
        <v>6991.0</v>
      </c>
      <c r="B2656" s="127" t="s">
        <v>76</v>
      </c>
      <c r="C2656" s="39"/>
      <c r="D2656" s="22">
        <f>1250*3</f>
        <v>3750</v>
      </c>
      <c r="E2656" s="25">
        <f t="shared" si="447"/>
        <v>35</v>
      </c>
    </row>
    <row r="2657" ht="15.75" customHeight="1">
      <c r="A2657" s="62"/>
      <c r="B2657" s="106" t="s">
        <v>19</v>
      </c>
      <c r="C2657" s="31">
        <f t="shared" ref="C2657:D2657" si="448">SUM(C2652:C2656)</f>
        <v>0</v>
      </c>
      <c r="D2657" s="32">
        <f t="shared" si="448"/>
        <v>6750</v>
      </c>
      <c r="E2657" s="25"/>
    </row>
    <row r="2658" ht="15.75" customHeight="1">
      <c r="A2658" s="101"/>
      <c r="B2658" s="136" t="s">
        <v>20</v>
      </c>
      <c r="C2658" s="53"/>
      <c r="D2658" s="32">
        <f>C2657-D2657</f>
        <v>-6750</v>
      </c>
      <c r="E2658" s="40"/>
    </row>
    <row r="2659" ht="15.75" customHeight="1">
      <c r="A2659" s="97">
        <v>202304.0</v>
      </c>
      <c r="B2659" s="126" t="s">
        <v>492</v>
      </c>
      <c r="C2659" s="35"/>
      <c r="D2659" s="36"/>
      <c r="E2659" s="37"/>
    </row>
    <row r="2660" ht="15.75" hidden="1" customHeight="1">
      <c r="A2660" s="62">
        <v>3110.0</v>
      </c>
      <c r="B2660" s="98" t="s">
        <v>111</v>
      </c>
      <c r="C2660" s="39">
        <v>0.0</v>
      </c>
      <c r="D2660" s="22"/>
      <c r="E2660" s="25">
        <f>E2656+1</f>
        <v>36</v>
      </c>
    </row>
    <row r="2661" ht="15.75" hidden="1" customHeight="1">
      <c r="A2661" s="62">
        <v>4047.0</v>
      </c>
      <c r="B2661" s="98" t="s">
        <v>14</v>
      </c>
      <c r="C2661" s="39"/>
      <c r="D2661" s="22">
        <v>0.0</v>
      </c>
      <c r="E2661" s="25">
        <f t="shared" ref="E2661:E2666" si="449">E2660+1</f>
        <v>37</v>
      </c>
    </row>
    <row r="2662" ht="15.75" hidden="1" customHeight="1">
      <c r="A2662" s="62">
        <v>4060.0</v>
      </c>
      <c r="B2662" s="98" t="s">
        <v>27</v>
      </c>
      <c r="C2662" s="39"/>
      <c r="D2662" s="22">
        <v>0.0</v>
      </c>
      <c r="E2662" s="25">
        <f t="shared" si="449"/>
        <v>38</v>
      </c>
    </row>
    <row r="2663" ht="15.75" hidden="1" customHeight="1">
      <c r="A2663" s="62">
        <v>4076.0</v>
      </c>
      <c r="B2663" s="98" t="s">
        <v>29</v>
      </c>
      <c r="C2663" s="39"/>
      <c r="D2663" s="22">
        <v>0.0</v>
      </c>
      <c r="E2663" s="25">
        <f t="shared" si="449"/>
        <v>39</v>
      </c>
    </row>
    <row r="2664" ht="15.75" hidden="1" customHeight="1">
      <c r="A2664" s="62">
        <v>4082.0</v>
      </c>
      <c r="B2664" s="98" t="s">
        <v>45</v>
      </c>
      <c r="C2664" s="39"/>
      <c r="D2664" s="22">
        <v>0.0</v>
      </c>
      <c r="E2664" s="25">
        <f t="shared" si="449"/>
        <v>40</v>
      </c>
    </row>
    <row r="2665" ht="15.75" hidden="1" customHeight="1">
      <c r="A2665" s="62">
        <v>4190.0</v>
      </c>
      <c r="B2665" s="98" t="s">
        <v>32</v>
      </c>
      <c r="C2665" s="39"/>
      <c r="D2665" s="22">
        <v>0.0</v>
      </c>
      <c r="E2665" s="25">
        <f t="shared" si="449"/>
        <v>41</v>
      </c>
    </row>
    <row r="2666" ht="15.75" hidden="1" customHeight="1">
      <c r="A2666" s="62">
        <v>5810.0</v>
      </c>
      <c r="B2666" s="98" t="s">
        <v>34</v>
      </c>
      <c r="C2666" s="39"/>
      <c r="D2666" s="22">
        <v>0.0</v>
      </c>
      <c r="E2666" s="25">
        <f t="shared" si="449"/>
        <v>42</v>
      </c>
    </row>
    <row r="2667" ht="15.75" hidden="1" customHeight="1">
      <c r="A2667" s="62"/>
      <c r="B2667" s="106" t="s">
        <v>19</v>
      </c>
      <c r="C2667" s="31">
        <f t="shared" ref="C2667:D2667" si="450">SUM(C2660:C2666)</f>
        <v>0</v>
      </c>
      <c r="D2667" s="32">
        <f t="shared" si="450"/>
        <v>0</v>
      </c>
      <c r="E2667" s="25"/>
    </row>
    <row r="2668" ht="15.75" hidden="1" customHeight="1">
      <c r="A2668" s="101"/>
      <c r="B2668" s="136" t="s">
        <v>20</v>
      </c>
      <c r="C2668" s="53"/>
      <c r="D2668" s="32">
        <f>C2667-D2667</f>
        <v>0</v>
      </c>
      <c r="E2668" s="40"/>
    </row>
    <row r="2669" ht="15.75" customHeight="1">
      <c r="A2669" s="125">
        <v>202305.0</v>
      </c>
      <c r="B2669" s="126" t="s">
        <v>493</v>
      </c>
      <c r="C2669" s="35"/>
      <c r="D2669" s="36"/>
      <c r="E2669" s="86"/>
    </row>
    <row r="2670" ht="15.75" customHeight="1">
      <c r="A2670" s="62">
        <v>3011.0</v>
      </c>
      <c r="B2670" s="98" t="s">
        <v>22</v>
      </c>
      <c r="C2670" s="39">
        <v>0.0</v>
      </c>
      <c r="D2670" s="22"/>
      <c r="E2670" s="25">
        <f>E2666+1</f>
        <v>43</v>
      </c>
    </row>
    <row r="2671" ht="15.75" customHeight="1">
      <c r="A2671" s="62">
        <v>4047.0</v>
      </c>
      <c r="B2671" s="98" t="s">
        <v>14</v>
      </c>
      <c r="C2671" s="39"/>
      <c r="D2671" s="22">
        <v>200.0</v>
      </c>
      <c r="E2671" s="25">
        <f>E2656+1</f>
        <v>36</v>
      </c>
    </row>
    <row r="2672" ht="15.75" customHeight="1">
      <c r="A2672" s="62">
        <v>4076.0</v>
      </c>
      <c r="B2672" s="98" t="s">
        <v>29</v>
      </c>
      <c r="C2672" s="39"/>
      <c r="D2672" s="22">
        <f>2*120*100</f>
        <v>24000</v>
      </c>
      <c r="E2672" s="25">
        <f t="shared" ref="E2672:E2673" si="451">E2671+1</f>
        <v>37</v>
      </c>
    </row>
    <row r="2673" ht="15.75" customHeight="1">
      <c r="A2673" s="108">
        <v>4063.0</v>
      </c>
      <c r="B2673" s="127" t="s">
        <v>70</v>
      </c>
      <c r="C2673" s="39"/>
      <c r="D2673" s="29">
        <v>500.0</v>
      </c>
      <c r="E2673" s="25">
        <f t="shared" si="451"/>
        <v>38</v>
      </c>
    </row>
    <row r="2674" ht="15.75" customHeight="1">
      <c r="A2674" s="62">
        <v>4060.0</v>
      </c>
      <c r="B2674" s="98" t="s">
        <v>27</v>
      </c>
      <c r="C2674" s="39"/>
      <c r="D2674" s="22">
        <f>3*200+50*3</f>
        <v>750</v>
      </c>
      <c r="E2674" s="25">
        <f>E2672+1</f>
        <v>38</v>
      </c>
    </row>
    <row r="2675" ht="15.75" customHeight="1">
      <c r="A2675" s="62">
        <v>4082.0</v>
      </c>
      <c r="B2675" s="98" t="s">
        <v>45</v>
      </c>
      <c r="C2675" s="39"/>
      <c r="D2675" s="22">
        <f>2*100+1*100</f>
        <v>300</v>
      </c>
      <c r="E2675" s="25">
        <f t="shared" ref="E2675:E2676" si="452">E2674+1</f>
        <v>39</v>
      </c>
    </row>
    <row r="2676" ht="15.75" customHeight="1">
      <c r="A2676" s="62">
        <v>4190.0</v>
      </c>
      <c r="B2676" s="98" t="s">
        <v>32</v>
      </c>
      <c r="C2676" s="39"/>
      <c r="D2676" s="22">
        <f>2*300+1*200</f>
        <v>800</v>
      </c>
      <c r="E2676" s="25">
        <f t="shared" si="452"/>
        <v>40</v>
      </c>
    </row>
    <row r="2677" ht="15.75" customHeight="1">
      <c r="A2677" s="62"/>
      <c r="B2677" s="135" t="s">
        <v>19</v>
      </c>
      <c r="C2677" s="31">
        <f t="shared" ref="C2677:D2677" si="453">SUM(C2670:C2676)</f>
        <v>0</v>
      </c>
      <c r="D2677" s="32">
        <f t="shared" si="453"/>
        <v>26550</v>
      </c>
      <c r="E2677" s="25"/>
    </row>
    <row r="2678" ht="15.75" customHeight="1">
      <c r="A2678" s="101"/>
      <c r="B2678" s="136" t="s">
        <v>20</v>
      </c>
      <c r="C2678" s="39"/>
      <c r="D2678" s="32">
        <f>C2677-D2677</f>
        <v>-26550</v>
      </c>
      <c r="E2678" s="40"/>
    </row>
    <row r="2679" ht="15.75" customHeight="1">
      <c r="A2679" s="371">
        <v>202306.0</v>
      </c>
      <c r="B2679" s="126" t="s">
        <v>494</v>
      </c>
      <c r="C2679" s="75"/>
      <c r="D2679" s="76"/>
      <c r="E2679" s="86"/>
    </row>
    <row r="2680" ht="15.75" customHeight="1">
      <c r="A2680" s="101">
        <v>4075.0</v>
      </c>
      <c r="B2680" s="98" t="s">
        <v>43</v>
      </c>
      <c r="C2680" s="39"/>
      <c r="D2680" s="22">
        <v>1000.0</v>
      </c>
      <c r="E2680" s="25">
        <f>E2676+1</f>
        <v>41</v>
      </c>
    </row>
    <row r="2681" ht="15.75" customHeight="1">
      <c r="A2681" s="101">
        <v>4060.0</v>
      </c>
      <c r="B2681" s="98" t="s">
        <v>27</v>
      </c>
      <c r="C2681" s="39"/>
      <c r="D2681" s="22">
        <f>3*200+50*3</f>
        <v>750</v>
      </c>
      <c r="E2681" s="25">
        <f t="shared" ref="E2681:E2684" si="454">E2680+1</f>
        <v>42</v>
      </c>
    </row>
    <row r="2682" ht="15.75" customHeight="1">
      <c r="A2682" s="101">
        <v>4076.0</v>
      </c>
      <c r="B2682" s="98" t="s">
        <v>29</v>
      </c>
      <c r="C2682" s="39"/>
      <c r="D2682" s="22">
        <f>150*4*5</f>
        <v>3000</v>
      </c>
      <c r="E2682" s="25">
        <f t="shared" si="454"/>
        <v>43</v>
      </c>
    </row>
    <row r="2683" ht="15.75" customHeight="1">
      <c r="A2683" s="101">
        <v>4082.0</v>
      </c>
      <c r="B2683" s="98" t="s">
        <v>45</v>
      </c>
      <c r="C2683" s="53"/>
      <c r="D2683" s="22">
        <f>1*200+2*100</f>
        <v>400</v>
      </c>
      <c r="E2683" s="25">
        <f t="shared" si="454"/>
        <v>44</v>
      </c>
    </row>
    <row r="2684" ht="15.75" customHeight="1">
      <c r="A2684" s="101">
        <v>4190.0</v>
      </c>
      <c r="B2684" s="98" t="s">
        <v>32</v>
      </c>
      <c r="C2684" s="53"/>
      <c r="D2684" s="22">
        <f>1*400+2*200</f>
        <v>800</v>
      </c>
      <c r="E2684" s="25">
        <f t="shared" si="454"/>
        <v>45</v>
      </c>
    </row>
    <row r="2685" ht="15.75" customHeight="1">
      <c r="A2685" s="101"/>
      <c r="B2685" s="136" t="s">
        <v>19</v>
      </c>
      <c r="C2685" s="344">
        <f t="shared" ref="C2685:D2685" si="455">SUM(C2680:C2684)</f>
        <v>0</v>
      </c>
      <c r="D2685" s="32">
        <f t="shared" si="455"/>
        <v>5950</v>
      </c>
      <c r="E2685" s="40"/>
    </row>
    <row r="2686" ht="15.75" customHeight="1">
      <c r="A2686" s="101"/>
      <c r="B2686" s="136" t="s">
        <v>20</v>
      </c>
      <c r="C2686" s="53"/>
      <c r="D2686" s="32">
        <f>C2685-D2685</f>
        <v>-5950</v>
      </c>
      <c r="E2686" s="40"/>
    </row>
    <row r="2687" ht="15.75" customHeight="1">
      <c r="A2687" s="371">
        <v>202307.0</v>
      </c>
      <c r="B2687" s="355" t="s">
        <v>495</v>
      </c>
      <c r="C2687" s="75"/>
      <c r="D2687" s="76"/>
      <c r="E2687" s="86"/>
    </row>
    <row r="2688" ht="15.75" customHeight="1">
      <c r="A2688" s="108">
        <v>3110.0</v>
      </c>
      <c r="B2688" s="127" t="s">
        <v>111</v>
      </c>
      <c r="C2688" s="39">
        <f>6200</f>
        <v>6200</v>
      </c>
      <c r="D2688" s="22"/>
      <c r="E2688" s="372">
        <f>E2684+1</f>
        <v>46</v>
      </c>
    </row>
    <row r="2689" ht="15.75" customHeight="1">
      <c r="A2689" s="62">
        <v>3011.0</v>
      </c>
      <c r="B2689" s="98" t="s">
        <v>22</v>
      </c>
      <c r="C2689" s="39">
        <f>475*51</f>
        <v>24225</v>
      </c>
      <c r="D2689" s="22"/>
      <c r="E2689" s="373">
        <f t="shared" ref="E2689:E2691" si="456">E2688+1</f>
        <v>47</v>
      </c>
    </row>
    <row r="2690" ht="15.75" customHeight="1">
      <c r="A2690" s="62">
        <v>4076.0</v>
      </c>
      <c r="B2690" s="98" t="s">
        <v>29</v>
      </c>
      <c r="C2690" s="39"/>
      <c r="D2690" s="29">
        <v>17300.0</v>
      </c>
      <c r="E2690" s="373">
        <f t="shared" si="456"/>
        <v>48</v>
      </c>
    </row>
    <row r="2691" ht="15.75" customHeight="1">
      <c r="A2691" s="62">
        <v>4047.0</v>
      </c>
      <c r="B2691" s="98" t="s">
        <v>14</v>
      </c>
      <c r="C2691" s="39"/>
      <c r="D2691" s="29">
        <v>15000.0</v>
      </c>
      <c r="E2691" s="25">
        <f t="shared" si="456"/>
        <v>49</v>
      </c>
    </row>
    <row r="2692" ht="15.75" customHeight="1">
      <c r="A2692" s="62"/>
      <c r="B2692" s="135" t="s">
        <v>19</v>
      </c>
      <c r="C2692" s="31">
        <f t="shared" ref="C2692:D2692" si="457">SUM(C2688:C2691)</f>
        <v>30425</v>
      </c>
      <c r="D2692" s="32">
        <f t="shared" si="457"/>
        <v>32300</v>
      </c>
      <c r="E2692" s="25"/>
    </row>
    <row r="2693" ht="15.75" customHeight="1">
      <c r="A2693" s="101"/>
      <c r="B2693" s="136" t="s">
        <v>20</v>
      </c>
      <c r="C2693" s="39"/>
      <c r="D2693" s="32">
        <f>C2692-D2692</f>
        <v>-1875</v>
      </c>
      <c r="E2693" s="25"/>
    </row>
    <row r="2694" ht="15.75" customHeight="1">
      <c r="A2694" s="371">
        <v>202308.0</v>
      </c>
      <c r="B2694" s="176" t="s">
        <v>316</v>
      </c>
      <c r="C2694" s="75"/>
      <c r="D2694" s="76"/>
      <c r="E2694" s="177"/>
    </row>
    <row r="2695" ht="15.75" hidden="1" customHeight="1">
      <c r="A2695" s="101">
        <v>3011.0</v>
      </c>
      <c r="B2695" s="98" t="s">
        <v>22</v>
      </c>
      <c r="C2695" s="39">
        <v>0.0</v>
      </c>
      <c r="D2695" s="22"/>
      <c r="E2695" s="25">
        <f>E2691+1</f>
        <v>50</v>
      </c>
    </row>
    <row r="2696" ht="15.75" hidden="1" customHeight="1">
      <c r="A2696" s="101">
        <v>4047.0</v>
      </c>
      <c r="B2696" s="98" t="s">
        <v>14</v>
      </c>
      <c r="C2696" s="39"/>
      <c r="D2696" s="22">
        <v>0.0</v>
      </c>
      <c r="E2696" s="25">
        <f t="shared" ref="E2696:E2701" si="458">E2695+1</f>
        <v>51</v>
      </c>
    </row>
    <row r="2697" ht="15.75" hidden="1" customHeight="1">
      <c r="A2697" s="101">
        <v>4060.0</v>
      </c>
      <c r="B2697" s="98" t="s">
        <v>27</v>
      </c>
      <c r="C2697" s="39"/>
      <c r="D2697" s="22">
        <v>0.0</v>
      </c>
      <c r="E2697" s="25">
        <f t="shared" si="458"/>
        <v>52</v>
      </c>
    </row>
    <row r="2698" ht="15.75" hidden="1" customHeight="1">
      <c r="A2698" s="101">
        <v>4063.0</v>
      </c>
      <c r="B2698" s="98" t="s">
        <v>70</v>
      </c>
      <c r="C2698" s="39"/>
      <c r="D2698" s="22">
        <v>0.0</v>
      </c>
      <c r="E2698" s="25">
        <f t="shared" si="458"/>
        <v>53</v>
      </c>
    </row>
    <row r="2699" ht="15.75" hidden="1" customHeight="1">
      <c r="A2699" s="101">
        <v>4076.0</v>
      </c>
      <c r="B2699" s="98" t="s">
        <v>29</v>
      </c>
      <c r="C2699" s="39"/>
      <c r="D2699" s="22">
        <v>0.0</v>
      </c>
      <c r="E2699" s="25">
        <f t="shared" si="458"/>
        <v>54</v>
      </c>
    </row>
    <row r="2700" ht="15.75" hidden="1" customHeight="1">
      <c r="A2700" s="101">
        <v>4082.0</v>
      </c>
      <c r="B2700" s="98" t="s">
        <v>45</v>
      </c>
      <c r="C2700" s="39"/>
      <c r="D2700" s="22">
        <v>0.0</v>
      </c>
      <c r="E2700" s="25">
        <f t="shared" si="458"/>
        <v>55</v>
      </c>
    </row>
    <row r="2701" ht="15.75" hidden="1" customHeight="1">
      <c r="A2701" s="101">
        <v>4190.0</v>
      </c>
      <c r="B2701" s="98" t="s">
        <v>32</v>
      </c>
      <c r="C2701" s="39"/>
      <c r="D2701" s="22">
        <v>0.0</v>
      </c>
      <c r="E2701" s="25">
        <f t="shared" si="458"/>
        <v>56</v>
      </c>
    </row>
    <row r="2702" ht="15.75" hidden="1" customHeight="1">
      <c r="A2702" s="101"/>
      <c r="B2702" s="136" t="s">
        <v>19</v>
      </c>
      <c r="C2702" s="31">
        <f t="shared" ref="C2702:D2702" si="459">SUM(C2695:C2701)</f>
        <v>0</v>
      </c>
      <c r="D2702" s="32">
        <f t="shared" si="459"/>
        <v>0</v>
      </c>
      <c r="E2702" s="40"/>
    </row>
    <row r="2703" ht="15.75" hidden="1" customHeight="1">
      <c r="A2703" s="101"/>
      <c r="B2703" s="136" t="s">
        <v>20</v>
      </c>
      <c r="C2703" s="39"/>
      <c r="D2703" s="32">
        <f>C2702-D2702</f>
        <v>0</v>
      </c>
      <c r="E2703" s="40"/>
    </row>
    <row r="2704" ht="15.75" customHeight="1">
      <c r="A2704" s="371">
        <v>202309.0</v>
      </c>
      <c r="B2704" s="176" t="s">
        <v>496</v>
      </c>
      <c r="C2704" s="75"/>
      <c r="D2704" s="76"/>
      <c r="E2704" s="86"/>
    </row>
    <row r="2705" ht="15.75" hidden="1" customHeight="1">
      <c r="A2705" s="101">
        <v>3011.0</v>
      </c>
      <c r="B2705" s="98" t="s">
        <v>22</v>
      </c>
      <c r="C2705" s="39">
        <v>0.0</v>
      </c>
      <c r="D2705" s="22"/>
      <c r="E2705" s="25">
        <f>E2701+1</f>
        <v>57</v>
      </c>
    </row>
    <row r="2706" ht="15.75" hidden="1" customHeight="1">
      <c r="A2706" s="101">
        <v>3030.0</v>
      </c>
      <c r="B2706" s="98" t="s">
        <v>117</v>
      </c>
      <c r="C2706" s="39">
        <v>0.0</v>
      </c>
      <c r="D2706" s="22"/>
      <c r="E2706" s="25">
        <f t="shared" ref="E2706:E2709" si="460">E2705+1</f>
        <v>58</v>
      </c>
    </row>
    <row r="2707" ht="15.75" hidden="1" customHeight="1">
      <c r="A2707" s="101">
        <v>4012.0</v>
      </c>
      <c r="B2707" s="98" t="s">
        <v>118</v>
      </c>
      <c r="C2707" s="39"/>
      <c r="D2707" s="22">
        <v>0.0</v>
      </c>
      <c r="E2707" s="25">
        <f t="shared" si="460"/>
        <v>59</v>
      </c>
    </row>
    <row r="2708" ht="15.75" hidden="1" customHeight="1">
      <c r="A2708" s="101">
        <v>4013.0</v>
      </c>
      <c r="B2708" s="98" t="s">
        <v>98</v>
      </c>
      <c r="C2708" s="39"/>
      <c r="D2708" s="22">
        <v>0.0</v>
      </c>
      <c r="E2708" s="25">
        <f t="shared" si="460"/>
        <v>60</v>
      </c>
    </row>
    <row r="2709" ht="15.75" hidden="1" customHeight="1">
      <c r="A2709" s="101">
        <v>4076.0</v>
      </c>
      <c r="B2709" s="98" t="s">
        <v>29</v>
      </c>
      <c r="C2709" s="39"/>
      <c r="D2709" s="22">
        <v>0.0</v>
      </c>
      <c r="E2709" s="25">
        <f t="shared" si="460"/>
        <v>61</v>
      </c>
    </row>
    <row r="2710" ht="15.75" hidden="1" customHeight="1">
      <c r="A2710" s="101"/>
      <c r="B2710" s="136" t="s">
        <v>19</v>
      </c>
      <c r="C2710" s="31">
        <f t="shared" ref="C2710:D2710" si="461">SUM(C2705:C2709)</f>
        <v>0</v>
      </c>
      <c r="D2710" s="32">
        <f t="shared" si="461"/>
        <v>0</v>
      </c>
      <c r="E2710" s="40"/>
    </row>
    <row r="2711" ht="15.75" hidden="1" customHeight="1">
      <c r="A2711" s="101"/>
      <c r="B2711" s="136" t="s">
        <v>20</v>
      </c>
      <c r="C2711" s="39"/>
      <c r="D2711" s="32">
        <f>C2710-D2710</f>
        <v>0</v>
      </c>
      <c r="E2711" s="40"/>
    </row>
    <row r="2712" ht="15.75" customHeight="1">
      <c r="A2712" s="234">
        <v>202310.0</v>
      </c>
      <c r="B2712" s="208" t="s">
        <v>497</v>
      </c>
      <c r="C2712" s="75">
        <v>0.0</v>
      </c>
      <c r="D2712" s="374">
        <v>0.0</v>
      </c>
      <c r="E2712" s="177"/>
    </row>
    <row r="2713" ht="15.75" hidden="1" customHeight="1">
      <c r="A2713" s="243">
        <v>1.0</v>
      </c>
      <c r="B2713" s="208" t="s">
        <v>498</v>
      </c>
      <c r="C2713" s="321"/>
      <c r="D2713" s="322"/>
      <c r="E2713" s="177"/>
    </row>
    <row r="2714" ht="15.75" hidden="1" customHeight="1">
      <c r="A2714" s="375">
        <v>3010.0</v>
      </c>
      <c r="B2714" s="271" t="s">
        <v>2</v>
      </c>
      <c r="C2714" s="321">
        <v>0.0</v>
      </c>
      <c r="D2714" s="322"/>
      <c r="E2714" s="177">
        <f>E2709+1</f>
        <v>62</v>
      </c>
    </row>
    <row r="2715" ht="15.75" hidden="1" customHeight="1">
      <c r="A2715" s="375">
        <v>3011.0</v>
      </c>
      <c r="B2715" s="271" t="s">
        <v>22</v>
      </c>
      <c r="C2715" s="321">
        <v>0.0</v>
      </c>
      <c r="D2715" s="322">
        <v>0.0</v>
      </c>
      <c r="E2715" s="177">
        <f t="shared" ref="E2715:E2723" si="462">E2714+1</f>
        <v>63</v>
      </c>
    </row>
    <row r="2716" ht="15.75" hidden="1" customHeight="1">
      <c r="A2716" s="375">
        <v>4010.0</v>
      </c>
      <c r="B2716" s="271" t="s">
        <v>48</v>
      </c>
      <c r="C2716" s="321"/>
      <c r="D2716" s="322">
        <v>0.0</v>
      </c>
      <c r="E2716" s="177">
        <f t="shared" si="462"/>
        <v>64</v>
      </c>
    </row>
    <row r="2717" ht="15.75" hidden="1" customHeight="1">
      <c r="A2717" s="375">
        <v>4040.0</v>
      </c>
      <c r="B2717" s="271" t="s">
        <v>24</v>
      </c>
      <c r="C2717" s="321"/>
      <c r="D2717" s="322">
        <v>0.0</v>
      </c>
      <c r="E2717" s="177">
        <f t="shared" si="462"/>
        <v>65</v>
      </c>
    </row>
    <row r="2718" ht="15.75" hidden="1" customHeight="1">
      <c r="A2718" s="375">
        <v>4047.0</v>
      </c>
      <c r="B2718" s="271" t="s">
        <v>14</v>
      </c>
      <c r="C2718" s="321"/>
      <c r="D2718" s="322">
        <v>0.0</v>
      </c>
      <c r="E2718" s="177">
        <f t="shared" si="462"/>
        <v>66</v>
      </c>
    </row>
    <row r="2719" ht="15.75" hidden="1" customHeight="1">
      <c r="A2719" s="375">
        <v>4063.0</v>
      </c>
      <c r="B2719" s="271" t="s">
        <v>70</v>
      </c>
      <c r="C2719" s="321"/>
      <c r="D2719" s="322">
        <v>0.0</v>
      </c>
      <c r="E2719" s="177">
        <f t="shared" si="462"/>
        <v>67</v>
      </c>
    </row>
    <row r="2720" ht="15.75" hidden="1" customHeight="1">
      <c r="A2720" s="375">
        <v>4069.0</v>
      </c>
      <c r="B2720" s="271" t="s">
        <v>181</v>
      </c>
      <c r="C2720" s="321"/>
      <c r="D2720" s="322">
        <v>0.0</v>
      </c>
      <c r="E2720" s="177">
        <f t="shared" si="462"/>
        <v>68</v>
      </c>
    </row>
    <row r="2721" ht="15.75" hidden="1" customHeight="1">
      <c r="A2721" s="375">
        <v>4076.0</v>
      </c>
      <c r="B2721" s="271" t="s">
        <v>29</v>
      </c>
      <c r="C2721" s="321"/>
      <c r="D2721" s="322">
        <v>0.0</v>
      </c>
      <c r="E2721" s="177">
        <f t="shared" si="462"/>
        <v>69</v>
      </c>
    </row>
    <row r="2722" ht="15.75" hidden="1" customHeight="1">
      <c r="A2722" s="375">
        <v>4190.0</v>
      </c>
      <c r="B2722" s="271" t="s">
        <v>32</v>
      </c>
      <c r="C2722" s="321"/>
      <c r="D2722" s="322">
        <v>0.0</v>
      </c>
      <c r="E2722" s="177">
        <f t="shared" si="462"/>
        <v>70</v>
      </c>
    </row>
    <row r="2723" ht="15.75" hidden="1" customHeight="1">
      <c r="A2723" s="375">
        <v>6070.0</v>
      </c>
      <c r="B2723" s="271" t="s">
        <v>35</v>
      </c>
      <c r="C2723" s="321"/>
      <c r="D2723" s="322">
        <v>0.0</v>
      </c>
      <c r="E2723" s="177">
        <f t="shared" si="462"/>
        <v>71</v>
      </c>
    </row>
    <row r="2724" ht="15.75" hidden="1" customHeight="1">
      <c r="A2724" s="375"/>
      <c r="B2724" s="208" t="s">
        <v>19</v>
      </c>
      <c r="C2724" s="321">
        <v>0.0</v>
      </c>
      <c r="D2724" s="322">
        <v>0.0</v>
      </c>
      <c r="E2724" s="177"/>
    </row>
    <row r="2725" ht="15.75" hidden="1" customHeight="1">
      <c r="A2725" s="243">
        <v>2.0</v>
      </c>
      <c r="B2725" s="208" t="s">
        <v>499</v>
      </c>
      <c r="C2725" s="321"/>
      <c r="D2725" s="322"/>
      <c r="E2725" s="177"/>
    </row>
    <row r="2726" ht="15.75" hidden="1" customHeight="1">
      <c r="A2726" s="375">
        <v>3010.0</v>
      </c>
      <c r="B2726" s="271" t="s">
        <v>2</v>
      </c>
      <c r="C2726" s="321">
        <v>0.0</v>
      </c>
      <c r="D2726" s="322"/>
      <c r="E2726" s="177">
        <f>E2723+1</f>
        <v>72</v>
      </c>
    </row>
    <row r="2727" ht="15.75" hidden="1" customHeight="1">
      <c r="A2727" s="375">
        <v>4010.0</v>
      </c>
      <c r="B2727" s="271" t="s">
        <v>48</v>
      </c>
      <c r="C2727" s="321"/>
      <c r="D2727" s="322">
        <v>0.0</v>
      </c>
      <c r="E2727" s="177">
        <f t="shared" ref="E2727:E2732" si="463">E2726+1</f>
        <v>73</v>
      </c>
    </row>
    <row r="2728" ht="15.75" hidden="1" customHeight="1">
      <c r="A2728" s="375">
        <v>4040.0</v>
      </c>
      <c r="B2728" s="271" t="s">
        <v>24</v>
      </c>
      <c r="C2728" s="321"/>
      <c r="D2728" s="322">
        <v>0.0</v>
      </c>
      <c r="E2728" s="177">
        <f t="shared" si="463"/>
        <v>74</v>
      </c>
    </row>
    <row r="2729" ht="15.75" hidden="1" customHeight="1">
      <c r="A2729" s="375">
        <v>4047.0</v>
      </c>
      <c r="B2729" s="271" t="s">
        <v>14</v>
      </c>
      <c r="C2729" s="321"/>
      <c r="D2729" s="322">
        <v>0.0</v>
      </c>
      <c r="E2729" s="177">
        <f t="shared" si="463"/>
        <v>75</v>
      </c>
    </row>
    <row r="2730" ht="15.75" hidden="1" customHeight="1">
      <c r="A2730" s="375">
        <v>4069.0</v>
      </c>
      <c r="B2730" s="271" t="s">
        <v>181</v>
      </c>
      <c r="C2730" s="321"/>
      <c r="D2730" s="322">
        <v>0.0</v>
      </c>
      <c r="E2730" s="177">
        <f t="shared" si="463"/>
        <v>76</v>
      </c>
    </row>
    <row r="2731" ht="15.75" hidden="1" customHeight="1">
      <c r="A2731" s="375">
        <v>4190.0</v>
      </c>
      <c r="B2731" s="271" t="s">
        <v>32</v>
      </c>
      <c r="C2731" s="321"/>
      <c r="D2731" s="322">
        <v>0.0</v>
      </c>
      <c r="E2731" s="177">
        <f t="shared" si="463"/>
        <v>77</v>
      </c>
    </row>
    <row r="2732" ht="15.75" hidden="1" customHeight="1">
      <c r="A2732" s="375">
        <v>6070.0</v>
      </c>
      <c r="B2732" s="271" t="s">
        <v>35</v>
      </c>
      <c r="C2732" s="321"/>
      <c r="D2732" s="322">
        <v>0.0</v>
      </c>
      <c r="E2732" s="177">
        <f t="shared" si="463"/>
        <v>78</v>
      </c>
    </row>
    <row r="2733" ht="15.75" hidden="1" customHeight="1">
      <c r="A2733" s="375"/>
      <c r="B2733" s="208" t="s">
        <v>19</v>
      </c>
      <c r="C2733" s="321">
        <f t="shared" ref="C2733:D2733" si="464">SUM(C2726:C2732)</f>
        <v>0</v>
      </c>
      <c r="D2733" s="322">
        <f t="shared" si="464"/>
        <v>0</v>
      </c>
      <c r="E2733" s="177"/>
    </row>
    <row r="2734" ht="15.75" hidden="1" customHeight="1">
      <c r="A2734" s="375"/>
      <c r="B2734" s="208" t="s">
        <v>500</v>
      </c>
      <c r="C2734" s="321">
        <v>0.0</v>
      </c>
      <c r="D2734" s="322">
        <v>0.0</v>
      </c>
      <c r="E2734" s="177"/>
    </row>
    <row r="2735" ht="15.75" hidden="1" customHeight="1">
      <c r="A2735" s="375"/>
      <c r="B2735" s="208" t="s">
        <v>20</v>
      </c>
      <c r="C2735" s="321"/>
      <c r="D2735" s="322">
        <v>0.0</v>
      </c>
      <c r="E2735" s="177"/>
    </row>
    <row r="2736" ht="15.75" customHeight="1">
      <c r="A2736" s="234">
        <v>202310.0</v>
      </c>
      <c r="B2736" s="208" t="s">
        <v>501</v>
      </c>
      <c r="C2736" s="75">
        <v>0.0</v>
      </c>
      <c r="D2736" s="374">
        <v>0.0</v>
      </c>
      <c r="E2736" s="177"/>
    </row>
    <row r="2737" ht="15.75" hidden="1" customHeight="1">
      <c r="A2737" s="375"/>
      <c r="B2737" s="208" t="s">
        <v>271</v>
      </c>
      <c r="C2737" s="321"/>
      <c r="D2737" s="322">
        <v>0.0</v>
      </c>
      <c r="E2737" s="177">
        <f>E2732+1</f>
        <v>79</v>
      </c>
    </row>
    <row r="2738" ht="15.75" hidden="1" customHeight="1">
      <c r="A2738" s="375"/>
      <c r="B2738" s="208" t="s">
        <v>32</v>
      </c>
      <c r="C2738" s="321"/>
      <c r="D2738" s="322">
        <v>0.0</v>
      </c>
      <c r="E2738" s="177">
        <f>E2737+1</f>
        <v>80</v>
      </c>
    </row>
    <row r="2739" ht="15.75" hidden="1" customHeight="1">
      <c r="A2739" s="375"/>
      <c r="B2739" s="208" t="s">
        <v>19</v>
      </c>
      <c r="C2739" s="321">
        <f t="shared" ref="C2739:D2739" si="465">SUM(C2737:C2738)</f>
        <v>0</v>
      </c>
      <c r="D2739" s="322">
        <f t="shared" si="465"/>
        <v>0</v>
      </c>
      <c r="E2739" s="177"/>
    </row>
    <row r="2740" ht="15.75" hidden="1" customHeight="1">
      <c r="A2740" s="375"/>
      <c r="B2740" s="208" t="s">
        <v>20</v>
      </c>
      <c r="C2740" s="321"/>
      <c r="D2740" s="322">
        <f>C2739-D2739</f>
        <v>0</v>
      </c>
      <c r="E2740" s="177"/>
    </row>
    <row r="2741" ht="15.75" customHeight="1">
      <c r="A2741" s="234">
        <v>202311.0</v>
      </c>
      <c r="B2741" s="208" t="s">
        <v>336</v>
      </c>
      <c r="C2741" s="75"/>
      <c r="D2741" s="76"/>
      <c r="E2741" s="177"/>
    </row>
    <row r="2742" ht="15.75" hidden="1" customHeight="1">
      <c r="A2742" s="101">
        <v>3011.0</v>
      </c>
      <c r="B2742" s="102" t="s">
        <v>22</v>
      </c>
      <c r="C2742" s="39">
        <v>0.0</v>
      </c>
      <c r="D2742" s="22"/>
      <c r="E2742" s="25">
        <f>E2701+1</f>
        <v>57</v>
      </c>
    </row>
    <row r="2743" ht="15.75" hidden="1" customHeight="1">
      <c r="A2743" s="101">
        <v>3030.0</v>
      </c>
      <c r="B2743" s="102" t="s">
        <v>117</v>
      </c>
      <c r="C2743" s="39">
        <v>0.0</v>
      </c>
      <c r="D2743" s="22"/>
      <c r="E2743" s="25">
        <f t="shared" ref="E2743:E2746" si="466">E2742+1</f>
        <v>58</v>
      </c>
    </row>
    <row r="2744" ht="15.75" hidden="1" customHeight="1">
      <c r="A2744" s="101">
        <v>4012.0</v>
      </c>
      <c r="B2744" s="102" t="s">
        <v>118</v>
      </c>
      <c r="C2744" s="39"/>
      <c r="D2744" s="22">
        <v>0.0</v>
      </c>
      <c r="E2744" s="25">
        <f t="shared" si="466"/>
        <v>59</v>
      </c>
    </row>
    <row r="2745" ht="15.75" hidden="1" customHeight="1">
      <c r="A2745" s="101">
        <v>4076.0</v>
      </c>
      <c r="B2745" s="102" t="s">
        <v>29</v>
      </c>
      <c r="C2745" s="39"/>
      <c r="D2745" s="22">
        <v>0.0</v>
      </c>
      <c r="E2745" s="25">
        <f t="shared" si="466"/>
        <v>60</v>
      </c>
    </row>
    <row r="2746" ht="15.75" hidden="1" customHeight="1">
      <c r="A2746" s="101">
        <v>6993.0</v>
      </c>
      <c r="B2746" s="98" t="s">
        <v>115</v>
      </c>
      <c r="C2746" s="39"/>
      <c r="D2746" s="22">
        <v>0.0</v>
      </c>
      <c r="E2746" s="25">
        <f t="shared" si="466"/>
        <v>61</v>
      </c>
    </row>
    <row r="2747" ht="15.75" hidden="1" customHeight="1">
      <c r="A2747" s="101"/>
      <c r="B2747" s="136" t="s">
        <v>19</v>
      </c>
      <c r="C2747" s="31">
        <f t="shared" ref="C2747:D2747" si="467">SUM(C2742:C2746)</f>
        <v>0</v>
      </c>
      <c r="D2747" s="32">
        <f t="shared" si="467"/>
        <v>0</v>
      </c>
      <c r="E2747" s="40"/>
    </row>
    <row r="2748" ht="15.75" hidden="1" customHeight="1">
      <c r="A2748" s="101"/>
      <c r="B2748" s="136" t="s">
        <v>20</v>
      </c>
      <c r="C2748" s="39"/>
      <c r="D2748" s="32">
        <f>C2747-D2747</f>
        <v>0</v>
      </c>
      <c r="E2748" s="40"/>
    </row>
    <row r="2749" ht="15.75" customHeight="1">
      <c r="A2749" s="125">
        <v>202312.0</v>
      </c>
      <c r="B2749" s="126" t="s">
        <v>502</v>
      </c>
      <c r="C2749" s="35"/>
      <c r="D2749" s="13"/>
      <c r="E2749" s="37"/>
    </row>
    <row r="2750" ht="15.75" hidden="1" customHeight="1">
      <c r="A2750" s="101">
        <v>3030.0</v>
      </c>
      <c r="B2750" s="102" t="s">
        <v>117</v>
      </c>
      <c r="C2750" s="39">
        <v>0.0</v>
      </c>
      <c r="D2750" s="22"/>
      <c r="E2750" s="25">
        <f>E2746+1</f>
        <v>62</v>
      </c>
    </row>
    <row r="2751" ht="15.75" hidden="1" customHeight="1">
      <c r="A2751" s="101">
        <v>4012.0</v>
      </c>
      <c r="B2751" s="98" t="s">
        <v>118</v>
      </c>
      <c r="C2751" s="39"/>
      <c r="D2751" s="22">
        <v>0.0</v>
      </c>
      <c r="E2751" s="25">
        <f t="shared" ref="E2751:E2753" si="468">E2750+1</f>
        <v>63</v>
      </c>
    </row>
    <row r="2752" ht="15.75" hidden="1" customHeight="1">
      <c r="A2752" s="101">
        <v>4076.0</v>
      </c>
      <c r="B2752" s="102" t="s">
        <v>29</v>
      </c>
      <c r="C2752" s="39"/>
      <c r="D2752" s="22">
        <v>0.0</v>
      </c>
      <c r="E2752" s="25">
        <f t="shared" si="468"/>
        <v>64</v>
      </c>
    </row>
    <row r="2753" ht="15.75" hidden="1" customHeight="1">
      <c r="A2753" s="101">
        <v>4078.0</v>
      </c>
      <c r="B2753" s="102" t="s">
        <v>30</v>
      </c>
      <c r="C2753" s="39"/>
      <c r="D2753" s="22">
        <v>0.0</v>
      </c>
      <c r="E2753" s="25">
        <f t="shared" si="468"/>
        <v>65</v>
      </c>
    </row>
    <row r="2754" ht="15.75" hidden="1" customHeight="1">
      <c r="A2754" s="101"/>
      <c r="B2754" s="136" t="s">
        <v>19</v>
      </c>
      <c r="C2754" s="31">
        <f t="shared" ref="C2754:D2754" si="469">SUM(C2750:C2753)</f>
        <v>0</v>
      </c>
      <c r="D2754" s="32">
        <f t="shared" si="469"/>
        <v>0</v>
      </c>
      <c r="E2754" s="40"/>
    </row>
    <row r="2755" ht="15.75" hidden="1" customHeight="1">
      <c r="A2755" s="101"/>
      <c r="B2755" s="136" t="s">
        <v>20</v>
      </c>
      <c r="C2755" s="39"/>
      <c r="D2755" s="32">
        <f>C2754-D2754</f>
        <v>0</v>
      </c>
      <c r="E2755" s="40"/>
    </row>
    <row r="2756" ht="15.75" customHeight="1">
      <c r="A2756" s="125">
        <v>202313.0</v>
      </c>
      <c r="B2756" s="126" t="s">
        <v>503</v>
      </c>
      <c r="C2756" s="35"/>
      <c r="D2756" s="36"/>
      <c r="E2756" s="37"/>
    </row>
    <row r="2757" ht="15.75" hidden="1" customHeight="1">
      <c r="A2757" s="62">
        <v>3011.0</v>
      </c>
      <c r="B2757" s="98" t="s">
        <v>22</v>
      </c>
      <c r="C2757" s="39">
        <v>0.0</v>
      </c>
      <c r="D2757" s="22"/>
      <c r="E2757" s="25">
        <f>E2753+1</f>
        <v>66</v>
      </c>
    </row>
    <row r="2758" ht="15.75" hidden="1" customHeight="1">
      <c r="A2758" s="62">
        <v>4076.0</v>
      </c>
      <c r="B2758" s="98" t="s">
        <v>29</v>
      </c>
      <c r="C2758" s="39"/>
      <c r="D2758" s="22">
        <v>0.0</v>
      </c>
      <c r="E2758" s="25">
        <f t="shared" ref="E2758:E2763" si="470">E2757+1</f>
        <v>67</v>
      </c>
    </row>
    <row r="2759" ht="15.75" hidden="1" customHeight="1">
      <c r="A2759" s="62">
        <v>4190.0</v>
      </c>
      <c r="B2759" s="98" t="s">
        <v>32</v>
      </c>
      <c r="C2759" s="39"/>
      <c r="D2759" s="22">
        <v>0.0</v>
      </c>
      <c r="E2759" s="25">
        <f t="shared" si="470"/>
        <v>68</v>
      </c>
    </row>
    <row r="2760" ht="15.75" hidden="1" customHeight="1">
      <c r="A2760" s="62">
        <v>4047.0</v>
      </c>
      <c r="B2760" s="98" t="s">
        <v>14</v>
      </c>
      <c r="C2760" s="39"/>
      <c r="D2760" s="22">
        <v>0.0</v>
      </c>
      <c r="E2760" s="25">
        <f t="shared" si="470"/>
        <v>69</v>
      </c>
    </row>
    <row r="2761" ht="15.75" hidden="1" customHeight="1">
      <c r="A2761" s="62">
        <v>4078.0</v>
      </c>
      <c r="B2761" s="98" t="s">
        <v>30</v>
      </c>
      <c r="C2761" s="39"/>
      <c r="D2761" s="22">
        <v>0.0</v>
      </c>
      <c r="E2761" s="25">
        <f t="shared" si="470"/>
        <v>70</v>
      </c>
    </row>
    <row r="2762" ht="15.75" hidden="1" customHeight="1">
      <c r="A2762" s="62">
        <v>4040.0</v>
      </c>
      <c r="B2762" s="98" t="s">
        <v>24</v>
      </c>
      <c r="C2762" s="39"/>
      <c r="D2762" s="22">
        <v>0.0</v>
      </c>
      <c r="E2762" s="25">
        <f t="shared" si="470"/>
        <v>71</v>
      </c>
    </row>
    <row r="2763" ht="15.75" hidden="1" customHeight="1">
      <c r="A2763" s="62">
        <v>5810.0</v>
      </c>
      <c r="B2763" s="98" t="s">
        <v>34</v>
      </c>
      <c r="C2763" s="39"/>
      <c r="D2763" s="22">
        <v>0.0</v>
      </c>
      <c r="E2763" s="25">
        <f t="shared" si="470"/>
        <v>72</v>
      </c>
    </row>
    <row r="2764" ht="15.75" hidden="1" customHeight="1">
      <c r="A2764" s="62"/>
      <c r="B2764" s="100" t="s">
        <v>19</v>
      </c>
      <c r="C2764" s="31">
        <f>SUM(C2757:C2763)</f>
        <v>0</v>
      </c>
      <c r="D2764" s="32">
        <f>SUM(D2758:D2763)</f>
        <v>0</v>
      </c>
      <c r="E2764" s="25"/>
    </row>
    <row r="2765" ht="15.75" hidden="1" customHeight="1">
      <c r="A2765" s="101"/>
      <c r="B2765" s="102" t="s">
        <v>20</v>
      </c>
      <c r="C2765" s="53"/>
      <c r="D2765" s="32">
        <f>C2764-D2764</f>
        <v>0</v>
      </c>
      <c r="E2765" s="40"/>
    </row>
    <row r="2766" ht="15.75" customHeight="1">
      <c r="A2766" s="125">
        <v>202314.0</v>
      </c>
      <c r="B2766" s="126" t="s">
        <v>504</v>
      </c>
      <c r="C2766" s="35"/>
      <c r="D2766" s="36"/>
      <c r="E2766" s="37"/>
    </row>
    <row r="2767" ht="15.75" hidden="1" customHeight="1">
      <c r="A2767" s="62">
        <v>4076.0</v>
      </c>
      <c r="B2767" s="98" t="s">
        <v>29</v>
      </c>
      <c r="C2767" s="39"/>
      <c r="D2767" s="22"/>
      <c r="E2767" s="25">
        <f>E2763+1</f>
        <v>73</v>
      </c>
    </row>
    <row r="2768" ht="15.75" hidden="1" customHeight="1">
      <c r="A2768" s="62">
        <v>4040.0</v>
      </c>
      <c r="B2768" s="98" t="s">
        <v>24</v>
      </c>
      <c r="C2768" s="39"/>
      <c r="D2768" s="22"/>
      <c r="E2768" s="25">
        <f>E2767+1</f>
        <v>74</v>
      </c>
    </row>
    <row r="2769" ht="15.75" hidden="1" customHeight="1">
      <c r="A2769" s="62"/>
      <c r="B2769" s="100" t="s">
        <v>19</v>
      </c>
      <c r="C2769" s="31">
        <f t="shared" ref="C2769:D2769" si="471">SUM(C2767:C2768)</f>
        <v>0</v>
      </c>
      <c r="D2769" s="32">
        <f t="shared" si="471"/>
        <v>0</v>
      </c>
      <c r="E2769" s="25"/>
    </row>
    <row r="2770" ht="15.75" hidden="1" customHeight="1">
      <c r="A2770" s="101"/>
      <c r="B2770" s="102" t="s">
        <v>20</v>
      </c>
      <c r="C2770" s="53"/>
      <c r="D2770" s="32">
        <f>C2769-D2769</f>
        <v>0</v>
      </c>
      <c r="E2770" s="40"/>
    </row>
    <row r="2771" ht="15.75" customHeight="1">
      <c r="A2771" s="34">
        <v>202315.0</v>
      </c>
      <c r="B2771" s="161" t="s">
        <v>220</v>
      </c>
      <c r="C2771" s="35"/>
      <c r="D2771" s="36"/>
      <c r="E2771" s="37"/>
    </row>
    <row r="2772" ht="15.75" hidden="1" customHeight="1">
      <c r="A2772" s="52">
        <v>3110.0</v>
      </c>
      <c r="B2772" s="174" t="s">
        <v>111</v>
      </c>
      <c r="C2772" s="39">
        <v>0.0</v>
      </c>
      <c r="D2772" s="22"/>
      <c r="E2772" s="25">
        <f>E2753+1</f>
        <v>66</v>
      </c>
    </row>
    <row r="2773" ht="15.75" hidden="1" customHeight="1">
      <c r="A2773" s="52">
        <v>4047.0</v>
      </c>
      <c r="B2773" s="174" t="s">
        <v>14</v>
      </c>
      <c r="C2773" s="39"/>
      <c r="D2773" s="22">
        <v>0.0</v>
      </c>
      <c r="E2773" s="25">
        <f t="shared" ref="E2773:E2778" si="472">E2772+1</f>
        <v>67</v>
      </c>
    </row>
    <row r="2774" ht="15.75" hidden="1" customHeight="1">
      <c r="A2774" s="52">
        <v>4060.0</v>
      </c>
      <c r="B2774" s="174" t="s">
        <v>27</v>
      </c>
      <c r="C2774" s="39"/>
      <c r="D2774" s="22">
        <v>0.0</v>
      </c>
      <c r="E2774" s="25">
        <f t="shared" si="472"/>
        <v>68</v>
      </c>
    </row>
    <row r="2775" ht="15.75" hidden="1" customHeight="1">
      <c r="A2775" s="52">
        <v>4063.0</v>
      </c>
      <c r="B2775" s="174" t="s">
        <v>70</v>
      </c>
      <c r="C2775" s="39"/>
      <c r="D2775" s="22">
        <v>0.0</v>
      </c>
      <c r="E2775" s="25">
        <f t="shared" si="472"/>
        <v>69</v>
      </c>
    </row>
    <row r="2776" ht="15.75" hidden="1" customHeight="1">
      <c r="A2776" s="52">
        <v>4076.0</v>
      </c>
      <c r="B2776" s="174" t="s">
        <v>29</v>
      </c>
      <c r="C2776" s="39"/>
      <c r="D2776" s="22">
        <v>0.0</v>
      </c>
      <c r="E2776" s="25">
        <f t="shared" si="472"/>
        <v>70</v>
      </c>
    </row>
    <row r="2777" ht="15.75" hidden="1" customHeight="1">
      <c r="A2777" s="52">
        <v>4082.0</v>
      </c>
      <c r="B2777" s="174" t="s">
        <v>45</v>
      </c>
      <c r="C2777" s="39"/>
      <c r="D2777" s="22">
        <v>0.0</v>
      </c>
      <c r="E2777" s="25">
        <f t="shared" si="472"/>
        <v>71</v>
      </c>
    </row>
    <row r="2778" ht="15.75" hidden="1" customHeight="1">
      <c r="A2778" s="52">
        <v>4190.0</v>
      </c>
      <c r="B2778" s="174" t="s">
        <v>32</v>
      </c>
      <c r="C2778" s="39"/>
      <c r="D2778" s="22">
        <v>0.0</v>
      </c>
      <c r="E2778" s="25">
        <f t="shared" si="472"/>
        <v>72</v>
      </c>
    </row>
    <row r="2779" ht="15.75" hidden="1" customHeight="1">
      <c r="A2779" s="52"/>
      <c r="B2779" s="186" t="s">
        <v>19</v>
      </c>
      <c r="C2779" s="31">
        <f t="shared" ref="C2779:D2779" si="473">SUM(C2772:C2778)</f>
        <v>0</v>
      </c>
      <c r="D2779" s="32">
        <f t="shared" si="473"/>
        <v>0</v>
      </c>
      <c r="E2779" s="40"/>
    </row>
    <row r="2780" ht="15.75" hidden="1" customHeight="1">
      <c r="A2780" s="52"/>
      <c r="B2780" s="186" t="s">
        <v>20</v>
      </c>
      <c r="C2780" s="39"/>
      <c r="D2780" s="32">
        <f>C2779-D2779</f>
        <v>0</v>
      </c>
      <c r="E2780" s="40"/>
    </row>
    <row r="2781" ht="15.75" customHeight="1">
      <c r="A2781" s="34">
        <v>202316.0</v>
      </c>
      <c r="B2781" s="162" t="s">
        <v>505</v>
      </c>
      <c r="C2781" s="35"/>
      <c r="D2781" s="36"/>
      <c r="E2781" s="37"/>
    </row>
    <row r="2782" ht="15.75" customHeight="1">
      <c r="A2782" s="376">
        <v>3011.0</v>
      </c>
      <c r="B2782" s="44" t="s">
        <v>353</v>
      </c>
      <c r="C2782" s="39">
        <f>16*2200</f>
        <v>35200</v>
      </c>
      <c r="D2782" s="22"/>
      <c r="E2782" s="40">
        <f>E2778+1</f>
        <v>73</v>
      </c>
    </row>
    <row r="2783" ht="15.75" customHeight="1">
      <c r="A2783" s="377">
        <v>3014.0</v>
      </c>
      <c r="B2783" s="44" t="s">
        <v>55</v>
      </c>
      <c r="C2783" s="39">
        <f>900*2</f>
        <v>1800</v>
      </c>
      <c r="D2783" s="22"/>
      <c r="E2783" s="40">
        <f t="shared" ref="E2783:E2787" si="474">E2782+1</f>
        <v>74</v>
      </c>
    </row>
    <row r="2784" ht="15.75" customHeight="1">
      <c r="A2784" s="377">
        <v>4047.0</v>
      </c>
      <c r="B2784" s="44" t="s">
        <v>14</v>
      </c>
      <c r="C2784" s="39"/>
      <c r="D2784" s="29">
        <v>600.0</v>
      </c>
      <c r="E2784" s="40">
        <f t="shared" si="474"/>
        <v>75</v>
      </c>
    </row>
    <row r="2785" ht="15.75" customHeight="1">
      <c r="A2785" s="377">
        <v>4076.0</v>
      </c>
      <c r="B2785" s="44" t="s">
        <v>487</v>
      </c>
      <c r="C2785" s="39"/>
      <c r="D2785" s="22">
        <f>120*18</f>
        <v>2160</v>
      </c>
      <c r="E2785" s="40">
        <f t="shared" si="474"/>
        <v>76</v>
      </c>
    </row>
    <row r="2786" ht="15.75" customHeight="1">
      <c r="A2786" s="378">
        <v>5830.0</v>
      </c>
      <c r="B2786" s="71" t="s">
        <v>506</v>
      </c>
      <c r="C2786" s="39"/>
      <c r="D2786" s="22">
        <f>1000*16</f>
        <v>16000</v>
      </c>
      <c r="E2786" s="40">
        <f t="shared" si="474"/>
        <v>77</v>
      </c>
    </row>
    <row r="2787" ht="15.75" customHeight="1">
      <c r="A2787" s="377">
        <v>6071.0</v>
      </c>
      <c r="B2787" s="44" t="s">
        <v>36</v>
      </c>
      <c r="C2787" s="39"/>
      <c r="D2787" s="22">
        <f>C2783</f>
        <v>1800</v>
      </c>
      <c r="E2787" s="40">
        <f t="shared" si="474"/>
        <v>78</v>
      </c>
    </row>
    <row r="2788" ht="15.75" customHeight="1">
      <c r="A2788" s="44"/>
      <c r="B2788" s="379" t="s">
        <v>19</v>
      </c>
      <c r="C2788" s="31">
        <f t="shared" ref="C2788:D2788" si="475">SUM(C2782:C2787)</f>
        <v>37000</v>
      </c>
      <c r="D2788" s="32">
        <f t="shared" si="475"/>
        <v>20560</v>
      </c>
      <c r="E2788" s="40"/>
    </row>
    <row r="2789" ht="15.75" customHeight="1">
      <c r="A2789" s="52"/>
      <c r="B2789" s="186" t="s">
        <v>20</v>
      </c>
      <c r="C2789" s="31"/>
      <c r="D2789" s="32">
        <f>C2788-D2788</f>
        <v>16440</v>
      </c>
      <c r="E2789" s="40"/>
    </row>
    <row r="2790" ht="15.75" customHeight="1">
      <c r="A2790" s="34">
        <v>202317.0</v>
      </c>
      <c r="B2790" s="162" t="s">
        <v>507</v>
      </c>
      <c r="C2790" s="35"/>
      <c r="D2790" s="56"/>
      <c r="E2790" s="380"/>
    </row>
    <row r="2791" ht="15.75" customHeight="1">
      <c r="A2791" s="376">
        <v>3011.0</v>
      </c>
      <c r="B2791" s="44" t="s">
        <v>353</v>
      </c>
      <c r="C2791" s="39">
        <f>350*45</f>
        <v>15750</v>
      </c>
      <c r="D2791" s="22"/>
      <c r="E2791" s="40">
        <f>E2787+1</f>
        <v>79</v>
      </c>
    </row>
    <row r="2792" ht="15.75" customHeight="1">
      <c r="A2792" s="377">
        <v>4047.0</v>
      </c>
      <c r="B2792" s="44" t="s">
        <v>508</v>
      </c>
      <c r="C2792" s="39"/>
      <c r="D2792" s="22">
        <f>40*5</f>
        <v>200</v>
      </c>
      <c r="E2792" s="40">
        <f t="shared" ref="E2792:E2795" si="476">E2791+1</f>
        <v>80</v>
      </c>
    </row>
    <row r="2793" ht="15.75" customHeight="1">
      <c r="A2793" s="377">
        <v>4076.0</v>
      </c>
      <c r="B2793" s="44" t="s">
        <v>487</v>
      </c>
      <c r="C2793" s="39"/>
      <c r="D2793" s="22">
        <f>300*80</f>
        <v>24000</v>
      </c>
      <c r="E2793" s="40">
        <f t="shared" si="476"/>
        <v>81</v>
      </c>
    </row>
    <row r="2794" ht="15.75" customHeight="1">
      <c r="A2794" s="377">
        <v>4078.0</v>
      </c>
      <c r="B2794" s="44" t="s">
        <v>30</v>
      </c>
      <c r="C2794" s="39"/>
      <c r="D2794" s="29">
        <v>800.0</v>
      </c>
      <c r="E2794" s="40">
        <f t="shared" si="476"/>
        <v>82</v>
      </c>
    </row>
    <row r="2795" ht="15.75" customHeight="1">
      <c r="A2795" s="378">
        <v>5810.0</v>
      </c>
      <c r="B2795" s="71" t="s">
        <v>34</v>
      </c>
      <c r="C2795" s="39"/>
      <c r="D2795" s="22">
        <v>0.0</v>
      </c>
      <c r="E2795" s="40">
        <f t="shared" si="476"/>
        <v>83</v>
      </c>
    </row>
    <row r="2796" ht="15.75" customHeight="1">
      <c r="A2796" s="52"/>
      <c r="B2796" s="379" t="s">
        <v>19</v>
      </c>
      <c r="C2796" s="31">
        <f t="shared" ref="C2796:D2796" si="477">SUM(C2791:C2795)</f>
        <v>15750</v>
      </c>
      <c r="D2796" s="32">
        <f t="shared" si="477"/>
        <v>25000</v>
      </c>
      <c r="E2796" s="40"/>
    </row>
    <row r="2797" ht="15.75" customHeight="1">
      <c r="A2797" s="52"/>
      <c r="B2797" s="186" t="s">
        <v>20</v>
      </c>
      <c r="C2797" s="31"/>
      <c r="D2797" s="32">
        <f>C2796-D2796</f>
        <v>-9250</v>
      </c>
      <c r="E2797" s="40"/>
    </row>
    <row r="2798" ht="15.75" customHeight="1">
      <c r="A2798" s="10"/>
      <c r="B2798" s="126" t="s">
        <v>509</v>
      </c>
      <c r="C2798" s="12">
        <f t="shared" ref="C2798:D2798" si="478">C2764+C2754+C2747+C2739+C2710+C2702+C2692+C2685+C2677+C2667+C2657+C2649+C2643+C2633+C2769+C2779+C2788+C2796</f>
        <v>492175</v>
      </c>
      <c r="D2798" s="13">
        <f t="shared" si="478"/>
        <v>323705</v>
      </c>
      <c r="E2798" s="37"/>
    </row>
    <row r="2799" ht="15.75" customHeight="1">
      <c r="A2799" s="10"/>
      <c r="B2799" s="126" t="s">
        <v>510</v>
      </c>
      <c r="C2799" s="35"/>
      <c r="D2799" s="13">
        <f>C2798-D2798</f>
        <v>168470</v>
      </c>
      <c r="E2799" s="37"/>
    </row>
    <row r="2800" ht="15.75" customHeight="1">
      <c r="A2800" s="62"/>
      <c r="B2800" s="106"/>
      <c r="C2800" s="64"/>
      <c r="D2800" s="65"/>
      <c r="E2800" s="25"/>
    </row>
    <row r="2801" ht="15.75" customHeight="1">
      <c r="A2801" s="62"/>
      <c r="B2801" s="106"/>
      <c r="C2801" s="64"/>
      <c r="D2801" s="65"/>
      <c r="E2801" s="25"/>
    </row>
    <row r="2802" ht="15.75" customHeight="1">
      <c r="A2802" s="6"/>
      <c r="B2802" s="15" t="s">
        <v>511</v>
      </c>
      <c r="C2802" s="16" t="s">
        <v>6</v>
      </c>
      <c r="D2802" s="5"/>
      <c r="E2802" s="9"/>
    </row>
    <row r="2803" ht="15.75" customHeight="1">
      <c r="A2803" s="97">
        <v>212300.0</v>
      </c>
      <c r="B2803" s="126" t="s">
        <v>512</v>
      </c>
      <c r="C2803" s="12" t="s">
        <v>2</v>
      </c>
      <c r="D2803" s="13" t="s">
        <v>3</v>
      </c>
      <c r="E2803" s="14" t="s">
        <v>4</v>
      </c>
    </row>
    <row r="2804" ht="15.75" customHeight="1">
      <c r="A2804" s="122">
        <v>3011.0</v>
      </c>
      <c r="B2804" s="104" t="s">
        <v>22</v>
      </c>
      <c r="C2804" s="39">
        <v>0.0</v>
      </c>
      <c r="D2804" s="22"/>
      <c r="E2804" s="25">
        <v>1.0</v>
      </c>
    </row>
    <row r="2805" ht="15.75" customHeight="1">
      <c r="A2805" s="99">
        <v>4042.0</v>
      </c>
      <c r="B2805" s="100" t="s">
        <v>67</v>
      </c>
      <c r="C2805" s="39"/>
      <c r="D2805" s="22">
        <v>1000.0</v>
      </c>
      <c r="E2805" s="25">
        <f t="shared" ref="E2805:E2817" si="479">E2804+1</f>
        <v>2</v>
      </c>
    </row>
    <row r="2806" ht="15.75" customHeight="1">
      <c r="A2806" s="163">
        <v>4045.0</v>
      </c>
      <c r="B2806" s="207" t="s">
        <v>26</v>
      </c>
      <c r="C2806" s="39"/>
      <c r="D2806" s="22">
        <v>4000.0</v>
      </c>
      <c r="E2806" s="25">
        <f t="shared" si="479"/>
        <v>3</v>
      </c>
    </row>
    <row r="2807" ht="15.75" customHeight="1">
      <c r="A2807" s="101">
        <v>4047.0</v>
      </c>
      <c r="B2807" s="102" t="s">
        <v>14</v>
      </c>
      <c r="C2807" s="39"/>
      <c r="D2807" s="22">
        <v>0.0</v>
      </c>
      <c r="E2807" s="25">
        <f t="shared" si="479"/>
        <v>4</v>
      </c>
    </row>
    <row r="2808" ht="15.75" customHeight="1">
      <c r="A2808" s="101">
        <v>4050.0</v>
      </c>
      <c r="B2808" s="102" t="s">
        <v>42</v>
      </c>
      <c r="C2808" s="39"/>
      <c r="D2808" s="22">
        <f>sumif($A$2805:$A$2872,"=4190",D2805:D2872)*0.3</f>
        <v>2790</v>
      </c>
      <c r="E2808" s="25">
        <f t="shared" si="479"/>
        <v>5</v>
      </c>
    </row>
    <row r="2809" ht="15.75" customHeight="1">
      <c r="A2809" s="101">
        <v>4060.0</v>
      </c>
      <c r="B2809" s="102" t="s">
        <v>27</v>
      </c>
      <c r="C2809" s="39"/>
      <c r="D2809" s="22">
        <f>5*550+5*80+8*200+8*80</f>
        <v>5390</v>
      </c>
      <c r="E2809" s="25">
        <f t="shared" si="479"/>
        <v>6</v>
      </c>
    </row>
    <row r="2810" ht="15.75" customHeight="1">
      <c r="A2810" s="101">
        <v>4063.0</v>
      </c>
      <c r="B2810" s="102" t="s">
        <v>70</v>
      </c>
      <c r="C2810" s="39"/>
      <c r="D2810" s="29">
        <v>0.0</v>
      </c>
      <c r="E2810" s="25">
        <f t="shared" si="479"/>
        <v>7</v>
      </c>
    </row>
    <row r="2811" ht="15.75" customHeight="1">
      <c r="A2811" s="163">
        <v>4065.0</v>
      </c>
      <c r="B2811" s="207" t="s">
        <v>16</v>
      </c>
      <c r="C2811" s="39"/>
      <c r="D2811" s="22">
        <v>1000.0</v>
      </c>
      <c r="E2811" s="25">
        <f t="shared" si="479"/>
        <v>8</v>
      </c>
    </row>
    <row r="2812" ht="15.75" customHeight="1">
      <c r="A2812" s="101">
        <v>4075.0</v>
      </c>
      <c r="B2812" s="102" t="s">
        <v>43</v>
      </c>
      <c r="C2812" s="39"/>
      <c r="D2812" s="22">
        <v>0.0</v>
      </c>
      <c r="E2812" s="25">
        <f t="shared" si="479"/>
        <v>9</v>
      </c>
    </row>
    <row r="2813" ht="15.75" hidden="1" customHeight="1">
      <c r="A2813" s="101">
        <v>4076.0</v>
      </c>
      <c r="B2813" s="102" t="s">
        <v>29</v>
      </c>
      <c r="C2813" s="39"/>
      <c r="D2813" s="22"/>
      <c r="E2813" s="25">
        <f t="shared" si="479"/>
        <v>10</v>
      </c>
    </row>
    <row r="2814" ht="15.75" customHeight="1">
      <c r="A2814" s="101">
        <v>4076.0</v>
      </c>
      <c r="B2814" s="102" t="s">
        <v>29</v>
      </c>
      <c r="C2814" s="39"/>
      <c r="D2814" s="22">
        <f>400*100+540*10+200*10</f>
        <v>47400</v>
      </c>
      <c r="E2814" s="25">
        <f t="shared" si="479"/>
        <v>11</v>
      </c>
    </row>
    <row r="2815" ht="15.75" customHeight="1">
      <c r="A2815" s="101">
        <v>4080.0</v>
      </c>
      <c r="B2815" s="102" t="s">
        <v>31</v>
      </c>
      <c r="C2815" s="39"/>
      <c r="D2815" s="22">
        <v>1000.0</v>
      </c>
      <c r="E2815" s="25">
        <f t="shared" si="479"/>
        <v>12</v>
      </c>
    </row>
    <row r="2816" ht="15.75" customHeight="1">
      <c r="A2816" s="101">
        <v>4082.0</v>
      </c>
      <c r="B2816" s="102" t="s">
        <v>45</v>
      </c>
      <c r="C2816" s="39"/>
      <c r="D2816" s="22">
        <f>300+4*200+8*100</f>
        <v>1900</v>
      </c>
      <c r="E2816" s="25">
        <f t="shared" si="479"/>
        <v>13</v>
      </c>
    </row>
    <row r="2817" ht="15.75" hidden="1" customHeight="1">
      <c r="A2817" s="101">
        <v>4190.0</v>
      </c>
      <c r="B2817" s="102" t="s">
        <v>32</v>
      </c>
      <c r="C2817" s="39"/>
      <c r="D2817" s="22"/>
      <c r="E2817" s="25">
        <f t="shared" si="479"/>
        <v>14</v>
      </c>
    </row>
    <row r="2818" ht="15.75" customHeight="1">
      <c r="A2818" s="101">
        <v>4190.0</v>
      </c>
      <c r="B2818" s="102" t="s">
        <v>32</v>
      </c>
      <c r="C2818" s="39"/>
      <c r="D2818" s="22">
        <f>1*600+4*500+8*300</f>
        <v>5000</v>
      </c>
      <c r="E2818" s="25">
        <f>E2816+1</f>
        <v>14</v>
      </c>
    </row>
    <row r="2819" ht="15.75" hidden="1" customHeight="1">
      <c r="A2819" s="101">
        <v>5810.0</v>
      </c>
      <c r="B2819" s="102" t="s">
        <v>34</v>
      </c>
      <c r="C2819" s="39"/>
      <c r="D2819" s="22"/>
      <c r="E2819" s="25">
        <f>E2818+1</f>
        <v>15</v>
      </c>
    </row>
    <row r="2820" ht="15.75" customHeight="1">
      <c r="A2820" s="101"/>
      <c r="B2820" s="136" t="s">
        <v>19</v>
      </c>
      <c r="C2820" s="31">
        <f t="shared" ref="C2820:D2820" si="480">SUM(C2804:C2819)</f>
        <v>0</v>
      </c>
      <c r="D2820" s="32">
        <f t="shared" si="480"/>
        <v>69480</v>
      </c>
      <c r="E2820" s="25"/>
    </row>
    <row r="2821" ht="15.75" customHeight="1">
      <c r="A2821" s="101"/>
      <c r="B2821" s="136" t="s">
        <v>20</v>
      </c>
      <c r="C2821" s="39"/>
      <c r="D2821" s="32">
        <f>C2820-D2820</f>
        <v>-69480</v>
      </c>
      <c r="E2821" s="25"/>
    </row>
    <row r="2822" ht="15.75" customHeight="1">
      <c r="A2822" s="97">
        <v>212301.0</v>
      </c>
      <c r="B2822" s="126" t="s">
        <v>513</v>
      </c>
      <c r="C2822" s="35"/>
      <c r="D2822" s="36"/>
      <c r="E2822" s="37"/>
    </row>
    <row r="2823" ht="15.75" customHeight="1">
      <c r="A2823" s="101">
        <v>4040.0</v>
      </c>
      <c r="B2823" s="102" t="s">
        <v>24</v>
      </c>
      <c r="C2823" s="39"/>
      <c r="D2823" s="22">
        <v>0.0</v>
      </c>
      <c r="E2823" s="25">
        <f>E2818+1</f>
        <v>15</v>
      </c>
    </row>
    <row r="2824" ht="15.75" customHeight="1">
      <c r="A2824" s="101">
        <v>4042.0</v>
      </c>
      <c r="B2824" s="100" t="s">
        <v>67</v>
      </c>
      <c r="C2824" s="39"/>
      <c r="D2824" s="22">
        <v>500.0</v>
      </c>
      <c r="E2824" s="25">
        <f t="shared" ref="E2824:E2832" si="481">E2823+1</f>
        <v>16</v>
      </c>
    </row>
    <row r="2825" ht="15.75" customHeight="1">
      <c r="A2825" s="62">
        <v>4047.0</v>
      </c>
      <c r="B2825" s="98" t="s">
        <v>14</v>
      </c>
      <c r="C2825" s="39"/>
      <c r="D2825" s="22">
        <v>1500.0</v>
      </c>
      <c r="E2825" s="25">
        <f t="shared" si="481"/>
        <v>17</v>
      </c>
    </row>
    <row r="2826" ht="15.75" customHeight="1">
      <c r="A2826" s="123">
        <v>4060.0</v>
      </c>
      <c r="B2826" s="100" t="s">
        <v>27</v>
      </c>
      <c r="C2826" s="39"/>
      <c r="D2826" s="22">
        <f>550+80+4*200</f>
        <v>1430</v>
      </c>
      <c r="E2826" s="25">
        <f t="shared" si="481"/>
        <v>18</v>
      </c>
    </row>
    <row r="2827" ht="15.75" hidden="1" customHeight="1">
      <c r="A2827" s="101">
        <v>4063.0</v>
      </c>
      <c r="B2827" s="102" t="s">
        <v>70</v>
      </c>
      <c r="C2827" s="39"/>
      <c r="D2827" s="22">
        <v>0.0</v>
      </c>
      <c r="E2827" s="25">
        <f t="shared" si="481"/>
        <v>19</v>
      </c>
    </row>
    <row r="2828" ht="15.75" hidden="1" customHeight="1">
      <c r="A2828" s="101">
        <v>4065.0</v>
      </c>
      <c r="B2828" s="102" t="s">
        <v>16</v>
      </c>
      <c r="C2828" s="39"/>
      <c r="D2828" s="22">
        <v>0.0</v>
      </c>
      <c r="E2828" s="25">
        <f t="shared" si="481"/>
        <v>20</v>
      </c>
    </row>
    <row r="2829" ht="15.75" customHeight="1">
      <c r="A2829" s="99">
        <v>4076.0</v>
      </c>
      <c r="B2829" s="100" t="s">
        <v>29</v>
      </c>
      <c r="C2829" s="39"/>
      <c r="D2829" s="22">
        <f>2*(75*40*2)</f>
        <v>12000</v>
      </c>
      <c r="E2829" s="25">
        <f t="shared" si="481"/>
        <v>21</v>
      </c>
    </row>
    <row r="2830" ht="15.75" customHeight="1">
      <c r="A2830" s="163">
        <v>4082.0</v>
      </c>
      <c r="B2830" s="207" t="s">
        <v>45</v>
      </c>
      <c r="C2830" s="39"/>
      <c r="D2830" s="22">
        <f>200+4*100</f>
        <v>600</v>
      </c>
      <c r="E2830" s="25">
        <f t="shared" si="481"/>
        <v>22</v>
      </c>
    </row>
    <row r="2831" ht="15.75" customHeight="1">
      <c r="A2831" s="101">
        <v>4190.0</v>
      </c>
      <c r="B2831" s="102" t="s">
        <v>32</v>
      </c>
      <c r="C2831" s="39"/>
      <c r="D2831" s="22">
        <f>500+4*300</f>
        <v>1700</v>
      </c>
      <c r="E2831" s="25">
        <f t="shared" si="481"/>
        <v>23</v>
      </c>
    </row>
    <row r="2832" ht="15.75" customHeight="1">
      <c r="A2832" s="101">
        <v>6070.0</v>
      </c>
      <c r="B2832" s="102" t="s">
        <v>35</v>
      </c>
      <c r="C2832" s="39"/>
      <c r="D2832" s="22">
        <v>5000.0</v>
      </c>
      <c r="E2832" s="25">
        <f t="shared" si="481"/>
        <v>24</v>
      </c>
    </row>
    <row r="2833">
      <c r="A2833" s="101"/>
      <c r="B2833" s="136" t="s">
        <v>19</v>
      </c>
      <c r="C2833" s="31">
        <f t="shared" ref="C2833:D2833" si="482">SUM(C2823:C2832)</f>
        <v>0</v>
      </c>
      <c r="D2833" s="32">
        <f t="shared" si="482"/>
        <v>22730</v>
      </c>
      <c r="E2833" s="25"/>
    </row>
    <row r="2834" ht="18.75" customHeight="1">
      <c r="A2834" s="101"/>
      <c r="B2834" s="136" t="s">
        <v>20</v>
      </c>
      <c r="C2834" s="39"/>
      <c r="D2834" s="32">
        <f>C2833-D2833</f>
        <v>-22730</v>
      </c>
      <c r="E2834" s="25"/>
    </row>
    <row r="2835" ht="17.25" customHeight="1">
      <c r="A2835" s="97">
        <v>212306.0</v>
      </c>
      <c r="B2835" s="132" t="s">
        <v>514</v>
      </c>
      <c r="C2835" s="75"/>
      <c r="D2835" s="76"/>
      <c r="E2835" s="177"/>
    </row>
    <row r="2836" ht="17.25" hidden="1" customHeight="1">
      <c r="A2836" s="163">
        <v>3110.0</v>
      </c>
      <c r="B2836" s="207" t="s">
        <v>54</v>
      </c>
      <c r="C2836" s="68">
        <v>0.0</v>
      </c>
      <c r="D2836" s="22"/>
      <c r="E2836" s="25">
        <v>25.0</v>
      </c>
    </row>
    <row r="2837" ht="15.75" hidden="1" customHeight="1">
      <c r="A2837" s="122">
        <v>3011.0</v>
      </c>
      <c r="B2837" s="104" t="s">
        <v>22</v>
      </c>
      <c r="C2837" s="39">
        <v>0.0</v>
      </c>
      <c r="D2837" s="22"/>
      <c r="E2837" s="25">
        <v>26.0</v>
      </c>
    </row>
    <row r="2838" ht="15.75" hidden="1" customHeight="1">
      <c r="A2838" s="101">
        <v>4040.0</v>
      </c>
      <c r="B2838" s="102" t="s">
        <v>24</v>
      </c>
      <c r="C2838" s="39"/>
      <c r="D2838" s="29">
        <v>0.0</v>
      </c>
      <c r="E2838" s="25">
        <v>27.0</v>
      </c>
    </row>
    <row r="2839" ht="15.75" hidden="1" customHeight="1">
      <c r="A2839" s="62">
        <v>4047.0</v>
      </c>
      <c r="B2839" s="98" t="s">
        <v>14</v>
      </c>
      <c r="C2839" s="39"/>
      <c r="D2839" s="29">
        <v>0.0</v>
      </c>
      <c r="E2839" s="25">
        <v>28.0</v>
      </c>
    </row>
    <row r="2840" ht="15.75" hidden="1" customHeight="1">
      <c r="A2840" s="101">
        <v>4076.0</v>
      </c>
      <c r="B2840" s="102" t="s">
        <v>29</v>
      </c>
      <c r="C2840" s="39"/>
      <c r="D2840" s="29">
        <v>0.0</v>
      </c>
      <c r="E2840" s="25">
        <f>E2839+1</f>
        <v>29</v>
      </c>
    </row>
    <row r="2841" ht="15.75" hidden="1" customHeight="1">
      <c r="A2841" s="19">
        <v>4077.0</v>
      </c>
      <c r="B2841" s="174" t="s">
        <v>328</v>
      </c>
      <c r="C2841" s="31"/>
      <c r="D2841" s="29">
        <v>0.0</v>
      </c>
      <c r="E2841" s="25">
        <v>30.0</v>
      </c>
    </row>
    <row r="2842" ht="15.75" hidden="1" customHeight="1">
      <c r="A2842" s="19">
        <v>5010.0</v>
      </c>
      <c r="B2842" s="174" t="s">
        <v>61</v>
      </c>
      <c r="C2842" s="31"/>
      <c r="D2842" s="22">
        <v>0.0</v>
      </c>
      <c r="E2842" s="25">
        <v>31.0</v>
      </c>
    </row>
    <row r="2843" ht="15.75" hidden="1" customHeight="1">
      <c r="A2843" s="101"/>
      <c r="B2843" s="106" t="s">
        <v>19</v>
      </c>
      <c r="C2843" s="31">
        <f t="shared" ref="C2843:D2843" si="483">SUM(C2836:C2842)</f>
        <v>0</v>
      </c>
      <c r="D2843" s="32">
        <f t="shared" si="483"/>
        <v>0</v>
      </c>
      <c r="E2843" s="25"/>
    </row>
    <row r="2844" ht="15.75" hidden="1" customHeight="1">
      <c r="A2844" s="62"/>
      <c r="B2844" s="136" t="s">
        <v>20</v>
      </c>
      <c r="C2844" s="39"/>
      <c r="D2844" s="32">
        <f>C2843-D2843</f>
        <v>0</v>
      </c>
      <c r="E2844" s="25"/>
    </row>
    <row r="2845" ht="15.75" customHeight="1">
      <c r="A2845" s="97">
        <v>212302.0</v>
      </c>
      <c r="B2845" s="126" t="s">
        <v>515</v>
      </c>
      <c r="C2845" s="35"/>
      <c r="D2845" s="36"/>
      <c r="E2845" s="37"/>
    </row>
    <row r="2846" ht="15.75" customHeight="1">
      <c r="A2846" s="163">
        <v>4010.0</v>
      </c>
      <c r="B2846" s="207" t="s">
        <v>48</v>
      </c>
      <c r="C2846" s="39"/>
      <c r="D2846" s="29">
        <f>500*20</f>
        <v>10000</v>
      </c>
      <c r="E2846" s="25">
        <f>E2842+1</f>
        <v>32</v>
      </c>
    </row>
    <row r="2847" ht="15.75" customHeight="1">
      <c r="A2847" s="101">
        <v>4047.0</v>
      </c>
      <c r="B2847" s="102" t="s">
        <v>14</v>
      </c>
      <c r="C2847" s="39"/>
      <c r="D2847" s="22">
        <v>10000.0</v>
      </c>
      <c r="E2847" s="25">
        <f t="shared" ref="E2847:E2852" si="484">E2846+1</f>
        <v>33</v>
      </c>
    </row>
    <row r="2848" ht="15.75" customHeight="1">
      <c r="A2848" s="101">
        <v>4060.0</v>
      </c>
      <c r="B2848" s="102" t="s">
        <v>27</v>
      </c>
      <c r="C2848" s="39"/>
      <c r="D2848" s="22">
        <f>550+80+5*200</f>
        <v>1630</v>
      </c>
      <c r="E2848" s="25">
        <f t="shared" si="484"/>
        <v>34</v>
      </c>
    </row>
    <row r="2849" ht="18.0" customHeight="1">
      <c r="A2849" s="101">
        <v>4063.0</v>
      </c>
      <c r="B2849" s="102" t="s">
        <v>70</v>
      </c>
      <c r="C2849" s="39"/>
      <c r="D2849" s="22">
        <v>1000.0</v>
      </c>
      <c r="E2849" s="25">
        <f t="shared" si="484"/>
        <v>35</v>
      </c>
    </row>
    <row r="2850" ht="15.75" customHeight="1">
      <c r="A2850" s="101">
        <v>4076.0</v>
      </c>
      <c r="B2850" s="102" t="s">
        <v>29</v>
      </c>
      <c r="C2850" s="39"/>
      <c r="D2850" s="22">
        <f>(40*200)*2</f>
        <v>16000</v>
      </c>
      <c r="E2850" s="25">
        <f t="shared" si="484"/>
        <v>36</v>
      </c>
    </row>
    <row r="2851" ht="15.75" customHeight="1">
      <c r="A2851" s="101">
        <v>4082.0</v>
      </c>
      <c r="B2851" s="102" t="s">
        <v>45</v>
      </c>
      <c r="C2851" s="39"/>
      <c r="D2851" s="22">
        <f>100*5+200</f>
        <v>700</v>
      </c>
      <c r="E2851" s="25">
        <f t="shared" si="484"/>
        <v>37</v>
      </c>
    </row>
    <row r="2852" ht="15.75" customHeight="1">
      <c r="A2852" s="101">
        <v>4190.0</v>
      </c>
      <c r="B2852" s="102" t="s">
        <v>32</v>
      </c>
      <c r="C2852" s="39"/>
      <c r="D2852" s="22">
        <f>300*5+500</f>
        <v>2000</v>
      </c>
      <c r="E2852" s="25">
        <f t="shared" si="484"/>
        <v>38</v>
      </c>
    </row>
    <row r="2853" ht="15.75" customHeight="1">
      <c r="A2853" s="101"/>
      <c r="B2853" s="136" t="s">
        <v>19</v>
      </c>
      <c r="C2853" s="31">
        <f t="shared" ref="C2853:D2853" si="485">SUM(C2846:C2852)</f>
        <v>0</v>
      </c>
      <c r="D2853" s="32">
        <f t="shared" si="485"/>
        <v>41330</v>
      </c>
      <c r="E2853" s="25"/>
    </row>
    <row r="2854" ht="15.75" customHeight="1">
      <c r="A2854" s="101"/>
      <c r="B2854" s="136" t="s">
        <v>20</v>
      </c>
      <c r="C2854" s="39"/>
      <c r="D2854" s="32">
        <f>C2853-D2853</f>
        <v>-41330</v>
      </c>
      <c r="E2854" s="25"/>
    </row>
    <row r="2855" ht="15.75" customHeight="1">
      <c r="A2855" s="97">
        <v>212303.0</v>
      </c>
      <c r="B2855" s="126" t="s">
        <v>516</v>
      </c>
      <c r="C2855" s="75"/>
      <c r="D2855" s="76"/>
      <c r="E2855" s="177"/>
    </row>
    <row r="2856" ht="15.75" customHeight="1">
      <c r="A2856" s="163">
        <v>4082.0</v>
      </c>
      <c r="B2856" s="207" t="s">
        <v>45</v>
      </c>
      <c r="C2856" s="39"/>
      <c r="D2856" s="22">
        <f>2*100</f>
        <v>200</v>
      </c>
      <c r="E2856" s="25">
        <f>E2852+1</f>
        <v>39</v>
      </c>
    </row>
    <row r="2857" ht="15.75" customHeight="1">
      <c r="A2857" s="101">
        <v>4190.0</v>
      </c>
      <c r="B2857" s="102" t="s">
        <v>32</v>
      </c>
      <c r="C2857" s="39"/>
      <c r="D2857" s="22">
        <v>600.0</v>
      </c>
      <c r="E2857" s="25">
        <f>E2856+1</f>
        <v>40</v>
      </c>
    </row>
    <row r="2858" ht="15.75" customHeight="1">
      <c r="A2858" s="99"/>
      <c r="B2858" s="106" t="s">
        <v>19</v>
      </c>
      <c r="C2858" s="31">
        <f t="shared" ref="C2858:D2858" si="486">SUM(C2856:C2857)</f>
        <v>0</v>
      </c>
      <c r="D2858" s="32">
        <f t="shared" si="486"/>
        <v>800</v>
      </c>
      <c r="E2858" s="25"/>
    </row>
    <row r="2859" ht="15.75" customHeight="1">
      <c r="A2859" s="101"/>
      <c r="B2859" s="136" t="s">
        <v>20</v>
      </c>
      <c r="C2859" s="39"/>
      <c r="D2859" s="32">
        <f>C2858-D2858</f>
        <v>-800</v>
      </c>
      <c r="E2859" s="25"/>
    </row>
    <row r="2860" ht="15.75" customHeight="1">
      <c r="A2860" s="97">
        <v>212304.0</v>
      </c>
      <c r="B2860" s="126" t="s">
        <v>517</v>
      </c>
      <c r="C2860" s="75"/>
      <c r="D2860" s="76"/>
      <c r="E2860" s="177"/>
    </row>
    <row r="2861" ht="15.75" hidden="1" customHeight="1">
      <c r="A2861" s="101">
        <v>4010.0</v>
      </c>
      <c r="B2861" s="102" t="s">
        <v>48</v>
      </c>
      <c r="C2861" s="39"/>
      <c r="D2861" s="22">
        <v>0.0</v>
      </c>
      <c r="E2861" s="25">
        <f>E2857+1</f>
        <v>41</v>
      </c>
    </row>
    <row r="2862" ht="15.75" hidden="1" customHeight="1">
      <c r="A2862" s="101">
        <v>4042.0</v>
      </c>
      <c r="B2862" s="102" t="s">
        <v>67</v>
      </c>
      <c r="C2862" s="39"/>
      <c r="D2862" s="22">
        <v>0.0</v>
      </c>
      <c r="E2862" s="25">
        <f>E2861+1</f>
        <v>42</v>
      </c>
    </row>
    <row r="2863" ht="15.75" hidden="1" customHeight="1">
      <c r="A2863" s="101">
        <v>4060.0</v>
      </c>
      <c r="B2863" s="102" t="s">
        <v>27</v>
      </c>
      <c r="C2863" s="39"/>
      <c r="D2863" s="22">
        <v>0.0</v>
      </c>
      <c r="E2863" s="25">
        <f>E2861+1</f>
        <v>42</v>
      </c>
    </row>
    <row r="2864" ht="15.75" hidden="1" customHeight="1">
      <c r="A2864" s="101">
        <v>4082.0</v>
      </c>
      <c r="B2864" s="102" t="s">
        <v>45</v>
      </c>
      <c r="C2864" s="39"/>
      <c r="D2864" s="22">
        <v>0.0</v>
      </c>
      <c r="E2864" s="25">
        <f t="shared" ref="E2864:E2865" si="487">E2863+1</f>
        <v>43</v>
      </c>
    </row>
    <row r="2865" ht="15.75" hidden="1" customHeight="1">
      <c r="A2865" s="101">
        <v>4190.0</v>
      </c>
      <c r="B2865" s="102" t="s">
        <v>32</v>
      </c>
      <c r="C2865" s="39"/>
      <c r="D2865" s="22">
        <v>0.0</v>
      </c>
      <c r="E2865" s="25">
        <f t="shared" si="487"/>
        <v>44</v>
      </c>
    </row>
    <row r="2866" ht="15.75" hidden="1" customHeight="1">
      <c r="A2866" s="101"/>
      <c r="B2866" s="106" t="s">
        <v>19</v>
      </c>
      <c r="C2866" s="31">
        <f t="shared" ref="C2866:D2866" si="488">SUM(C2861:C2865)</f>
        <v>0</v>
      </c>
      <c r="D2866" s="32">
        <f t="shared" si="488"/>
        <v>0</v>
      </c>
      <c r="E2866" s="25"/>
    </row>
    <row r="2867" ht="15.75" hidden="1" customHeight="1">
      <c r="A2867" s="101"/>
      <c r="B2867" s="136" t="s">
        <v>20</v>
      </c>
      <c r="C2867" s="39"/>
      <c r="D2867" s="32">
        <f>C2866-D2866</f>
        <v>0</v>
      </c>
      <c r="E2867" s="25"/>
    </row>
    <row r="2868" ht="15.75" customHeight="1">
      <c r="A2868" s="97">
        <v>212305.0</v>
      </c>
      <c r="B2868" s="126" t="s">
        <v>518</v>
      </c>
      <c r="C2868" s="75"/>
      <c r="D2868" s="76"/>
      <c r="E2868" s="177"/>
    </row>
    <row r="2869" ht="15.75" hidden="1" customHeight="1">
      <c r="A2869" s="99">
        <v>3011.0</v>
      </c>
      <c r="B2869" s="100" t="s">
        <v>22</v>
      </c>
      <c r="C2869" s="39">
        <v>0.0</v>
      </c>
      <c r="D2869" s="22"/>
      <c r="E2869" s="25">
        <v>48.0</v>
      </c>
    </row>
    <row r="2870" ht="15.75" hidden="1" customHeight="1">
      <c r="A2870" s="99">
        <v>4076.0</v>
      </c>
      <c r="B2870" s="100" t="s">
        <v>29</v>
      </c>
      <c r="C2870" s="39"/>
      <c r="D2870" s="22">
        <v>0.0</v>
      </c>
      <c r="E2870" s="25">
        <f>E2869+1</f>
        <v>49</v>
      </c>
    </row>
    <row r="2871" ht="15.75" hidden="1" customHeight="1">
      <c r="A2871" s="101"/>
      <c r="B2871" s="106" t="s">
        <v>19</v>
      </c>
      <c r="C2871" s="31">
        <f t="shared" ref="C2871:D2871" si="489">SUM(C2869:C2870)</f>
        <v>0</v>
      </c>
      <c r="D2871" s="32">
        <f t="shared" si="489"/>
        <v>0</v>
      </c>
      <c r="E2871" s="25"/>
    </row>
    <row r="2872" ht="15.75" hidden="1" customHeight="1">
      <c r="A2872" s="62"/>
      <c r="B2872" s="136" t="s">
        <v>20</v>
      </c>
      <c r="C2872" s="39"/>
      <c r="D2872" s="32">
        <f>C2871-D2871</f>
        <v>0</v>
      </c>
      <c r="E2872" s="25"/>
    </row>
    <row r="2873" ht="15.75" hidden="1" customHeight="1">
      <c r="A2873" s="97">
        <v>212208.0</v>
      </c>
      <c r="B2873" s="126" t="s">
        <v>519</v>
      </c>
      <c r="C2873" s="75"/>
      <c r="D2873" s="76"/>
      <c r="E2873" s="177"/>
    </row>
    <row r="2874" ht="15.75" hidden="1" customHeight="1">
      <c r="A2874" s="99">
        <v>4047.0</v>
      </c>
      <c r="B2874" s="100" t="s">
        <v>14</v>
      </c>
      <c r="C2874" s="39"/>
      <c r="D2874" s="22">
        <v>0.0</v>
      </c>
      <c r="E2874" s="25">
        <f>E2870+1</f>
        <v>50</v>
      </c>
    </row>
    <row r="2875" ht="15.75" hidden="1" customHeight="1">
      <c r="A2875" s="99">
        <v>4063.0</v>
      </c>
      <c r="B2875" s="100" t="s">
        <v>70</v>
      </c>
      <c r="C2875" s="39"/>
      <c r="D2875" s="22">
        <v>0.0</v>
      </c>
      <c r="E2875" s="25">
        <f t="shared" ref="E2875:E2876" si="490">E2874+1</f>
        <v>51</v>
      </c>
    </row>
    <row r="2876" ht="15.75" hidden="1" customHeight="1">
      <c r="A2876" s="99">
        <v>4076.0</v>
      </c>
      <c r="B2876" s="100" t="s">
        <v>29</v>
      </c>
      <c r="C2876" s="39"/>
      <c r="D2876" s="22">
        <v>0.0</v>
      </c>
      <c r="E2876" s="25">
        <f t="shared" si="490"/>
        <v>52</v>
      </c>
    </row>
    <row r="2877" ht="15.75" hidden="1" customHeight="1">
      <c r="A2877" s="101"/>
      <c r="B2877" s="106" t="s">
        <v>19</v>
      </c>
      <c r="C2877" s="31">
        <f>sum(C2874:C2876)</f>
        <v>0</v>
      </c>
      <c r="D2877" s="32">
        <f>SUM(D2874:D2876)</f>
        <v>0</v>
      </c>
      <c r="E2877" s="25"/>
    </row>
    <row r="2878" ht="15.75" hidden="1" customHeight="1">
      <c r="A2878" s="62"/>
      <c r="B2878" s="136" t="s">
        <v>20</v>
      </c>
      <c r="C2878" s="39"/>
      <c r="D2878" s="32" t="str">
        <f>#REF!-D2877</f>
        <v>#REF!</v>
      </c>
      <c r="E2878" s="25"/>
    </row>
    <row r="2879" ht="15.75" customHeight="1">
      <c r="A2879" s="97">
        <v>212307.0</v>
      </c>
      <c r="B2879" s="132" t="s">
        <v>520</v>
      </c>
      <c r="C2879" s="75"/>
      <c r="D2879" s="76"/>
      <c r="E2879" s="177"/>
    </row>
    <row r="2880" ht="18.0" hidden="1" customHeight="1">
      <c r="A2880" s="62">
        <v>4010.0</v>
      </c>
      <c r="B2880" s="98" t="s">
        <v>48</v>
      </c>
      <c r="C2880" s="39"/>
      <c r="D2880" s="22">
        <v>0.0</v>
      </c>
      <c r="E2880" s="25">
        <v>32.0</v>
      </c>
    </row>
    <row r="2881" ht="15.75" hidden="1" customHeight="1">
      <c r="A2881" s="163">
        <v>4060.0</v>
      </c>
      <c r="B2881" s="207" t="s">
        <v>27</v>
      </c>
      <c r="C2881" s="39"/>
      <c r="D2881" s="22">
        <v>0.0</v>
      </c>
      <c r="E2881" s="25">
        <f t="shared" ref="E2881:E2884" si="491">E2880+1</f>
        <v>33</v>
      </c>
    </row>
    <row r="2882" ht="15.75" hidden="1" customHeight="1">
      <c r="A2882" s="101">
        <v>4076.0</v>
      </c>
      <c r="B2882" s="102" t="s">
        <v>29</v>
      </c>
      <c r="C2882" s="39"/>
      <c r="D2882" s="22">
        <v>0.0</v>
      </c>
      <c r="E2882" s="25">
        <f t="shared" si="491"/>
        <v>34</v>
      </c>
    </row>
    <row r="2883" ht="15.75" hidden="1" customHeight="1">
      <c r="A2883" s="101">
        <v>4082.0</v>
      </c>
      <c r="B2883" s="102" t="s">
        <v>45</v>
      </c>
      <c r="C2883" s="31"/>
      <c r="D2883" s="22">
        <v>0.0</v>
      </c>
      <c r="E2883" s="25">
        <f t="shared" si="491"/>
        <v>35</v>
      </c>
    </row>
    <row r="2884" ht="15.75" hidden="1" customHeight="1">
      <c r="A2884" s="101">
        <v>4190.0</v>
      </c>
      <c r="B2884" s="102" t="s">
        <v>32</v>
      </c>
      <c r="C2884" s="31"/>
      <c r="D2884" s="22">
        <v>0.0</v>
      </c>
      <c r="E2884" s="25">
        <f t="shared" si="491"/>
        <v>36</v>
      </c>
    </row>
    <row r="2885" ht="15.75" hidden="1" customHeight="1">
      <c r="A2885" s="101"/>
      <c r="B2885" s="106" t="s">
        <v>19</v>
      </c>
      <c r="C2885" s="31">
        <f t="shared" ref="C2885:D2885" si="492">SUM(C2880:C2884)</f>
        <v>0</v>
      </c>
      <c r="D2885" s="32">
        <f t="shared" si="492"/>
        <v>0</v>
      </c>
      <c r="E2885" s="25"/>
    </row>
    <row r="2886" ht="15.75" hidden="1" customHeight="1">
      <c r="A2886" s="62"/>
      <c r="B2886" s="136" t="s">
        <v>20</v>
      </c>
      <c r="C2886" s="39"/>
      <c r="D2886" s="32">
        <f>C2885-D2885</f>
        <v>0</v>
      </c>
      <c r="E2886" s="25"/>
    </row>
    <row r="2887" ht="15.75" customHeight="1">
      <c r="A2887" s="125">
        <v>212308.0</v>
      </c>
      <c r="B2887" s="132" t="s">
        <v>521</v>
      </c>
      <c r="C2887" s="12"/>
      <c r="D2887" s="13"/>
      <c r="E2887" s="37"/>
    </row>
    <row r="2888" ht="15.75" customHeight="1">
      <c r="A2888" s="101">
        <v>4060.0</v>
      </c>
      <c r="B2888" s="102" t="s">
        <v>27</v>
      </c>
      <c r="C2888" s="39"/>
      <c r="D2888" s="29">
        <v>200.0</v>
      </c>
      <c r="E2888" s="25">
        <f>E2857+1</f>
        <v>41</v>
      </c>
    </row>
    <row r="2889" ht="15.75" customHeight="1">
      <c r="A2889" s="101">
        <v>4082.0</v>
      </c>
      <c r="B2889" s="102" t="s">
        <v>45</v>
      </c>
      <c r="C2889" s="39"/>
      <c r="D2889" s="22">
        <v>100.0</v>
      </c>
      <c r="E2889" s="25">
        <f t="shared" ref="E2889:E2890" si="493">E2888+1</f>
        <v>42</v>
      </c>
    </row>
    <row r="2890" ht="15.75" customHeight="1">
      <c r="A2890" s="101">
        <v>4190.0</v>
      </c>
      <c r="B2890" s="102" t="s">
        <v>32</v>
      </c>
      <c r="C2890" s="39"/>
      <c r="D2890" s="22">
        <v>200.0</v>
      </c>
      <c r="E2890" s="25">
        <f t="shared" si="493"/>
        <v>43</v>
      </c>
    </row>
    <row r="2891" ht="15.75" customHeight="1">
      <c r="A2891" s="101"/>
      <c r="B2891" s="106" t="s">
        <v>19</v>
      </c>
      <c r="C2891" s="31">
        <f t="shared" ref="C2891:D2891" si="494">SUM(C2888:C2890)</f>
        <v>0</v>
      </c>
      <c r="D2891" s="32">
        <f t="shared" si="494"/>
        <v>500</v>
      </c>
      <c r="E2891" s="25"/>
    </row>
    <row r="2892" ht="15.75" customHeight="1">
      <c r="A2892" s="62"/>
      <c r="B2892" s="136" t="s">
        <v>20</v>
      </c>
      <c r="C2892" s="39"/>
      <c r="D2892" s="32">
        <f>C2891-D2891</f>
        <v>-500</v>
      </c>
      <c r="E2892" s="25"/>
    </row>
    <row r="2893" ht="15.75" customHeight="1">
      <c r="A2893" s="10"/>
      <c r="B2893" s="126" t="s">
        <v>522</v>
      </c>
      <c r="C2893" s="12">
        <f t="shared" ref="C2893:D2893" si="495">C2820+C2833+C2853+C2858+C2866+C2871+C2877+C2885+C2843+C2891</f>
        <v>0</v>
      </c>
      <c r="D2893" s="13">
        <f t="shared" si="495"/>
        <v>134840</v>
      </c>
      <c r="E2893" s="37"/>
    </row>
    <row r="2894" ht="15.75" customHeight="1">
      <c r="A2894" s="10"/>
      <c r="B2894" s="126" t="s">
        <v>523</v>
      </c>
      <c r="C2894" s="12"/>
      <c r="D2894" s="13">
        <f>C2893-D2893</f>
        <v>-134840</v>
      </c>
      <c r="E2894" s="37"/>
    </row>
    <row r="2895" ht="15.75" customHeight="1">
      <c r="A2895" s="101"/>
      <c r="B2895" s="136"/>
      <c r="C2895" s="381"/>
      <c r="D2895" s="221"/>
      <c r="E2895" s="40"/>
    </row>
    <row r="2896" ht="15.75" customHeight="1">
      <c r="A2896" s="101"/>
      <c r="B2896" s="136"/>
      <c r="C2896" s="381"/>
      <c r="D2896" s="221"/>
      <c r="E2896" s="40"/>
    </row>
    <row r="2897" ht="15.75" customHeight="1">
      <c r="A2897" s="6"/>
      <c r="B2897" s="15" t="s">
        <v>524</v>
      </c>
      <c r="C2897" s="16" t="s">
        <v>6</v>
      </c>
      <c r="D2897" s="5"/>
      <c r="E2897" s="9"/>
    </row>
    <row r="2898" ht="15.75" customHeight="1">
      <c r="A2898" s="97">
        <v>242300.0</v>
      </c>
      <c r="B2898" s="107" t="s">
        <v>525</v>
      </c>
      <c r="C2898" s="12" t="s">
        <v>2</v>
      </c>
      <c r="D2898" s="13" t="s">
        <v>3</v>
      </c>
      <c r="E2898" s="14" t="s">
        <v>4</v>
      </c>
    </row>
    <row r="2899" ht="15.75" customHeight="1">
      <c r="A2899" s="19">
        <v>3030.0</v>
      </c>
      <c r="B2899" s="214" t="s">
        <v>117</v>
      </c>
      <c r="C2899" s="170">
        <v>0.0</v>
      </c>
      <c r="D2899" s="22"/>
      <c r="E2899" s="247">
        <v>1.0</v>
      </c>
    </row>
    <row r="2900" ht="15.75" customHeight="1">
      <c r="A2900" s="152">
        <v>3980.0</v>
      </c>
      <c r="B2900" s="65" t="s">
        <v>387</v>
      </c>
      <c r="C2900" s="170">
        <v>0.0</v>
      </c>
      <c r="D2900" s="22"/>
      <c r="E2900" s="247">
        <f>E2899+1</f>
        <v>2</v>
      </c>
    </row>
    <row r="2901" ht="15.75" customHeight="1">
      <c r="A2901" s="152">
        <v>4010.0</v>
      </c>
      <c r="B2901" s="65" t="s">
        <v>48</v>
      </c>
      <c r="C2901" s="170"/>
      <c r="D2901" s="22">
        <v>2000.0</v>
      </c>
      <c r="E2901" s="247">
        <v>3.0</v>
      </c>
    </row>
    <row r="2902" ht="15.75" customHeight="1">
      <c r="A2902" s="152">
        <v>4012.0</v>
      </c>
      <c r="B2902" s="65" t="s">
        <v>118</v>
      </c>
      <c r="C2902" s="170"/>
      <c r="D2902" s="22">
        <v>0.0</v>
      </c>
      <c r="E2902" s="247">
        <v>4.0</v>
      </c>
    </row>
    <row r="2903" ht="15.75" customHeight="1">
      <c r="A2903" s="152">
        <v>4042.0</v>
      </c>
      <c r="B2903" s="65" t="s">
        <v>67</v>
      </c>
      <c r="C2903" s="170"/>
      <c r="D2903" s="22">
        <v>1000.0</v>
      </c>
      <c r="E2903" s="247">
        <v>5.0</v>
      </c>
    </row>
    <row r="2904" ht="15.75" customHeight="1">
      <c r="A2904" s="152">
        <v>4047.0</v>
      </c>
      <c r="B2904" s="382" t="s">
        <v>14</v>
      </c>
      <c r="C2904" s="170"/>
      <c r="D2904" s="22">
        <v>0.0</v>
      </c>
      <c r="E2904" s="247">
        <v>6.0</v>
      </c>
    </row>
    <row r="2905" ht="15.75" customHeight="1">
      <c r="A2905" s="152">
        <v>4050.0</v>
      </c>
      <c r="B2905" s="382" t="s">
        <v>42</v>
      </c>
      <c r="C2905" s="170"/>
      <c r="D2905" s="22">
        <f>0.3*D2911</f>
        <v>6480</v>
      </c>
      <c r="E2905" s="247">
        <v>7.0</v>
      </c>
    </row>
    <row r="2906" ht="15.75" customHeight="1">
      <c r="A2906" s="152">
        <v>4060.0</v>
      </c>
      <c r="B2906" s="65" t="s">
        <v>27</v>
      </c>
      <c r="C2906" s="170"/>
      <c r="D2906" s="22">
        <f>11*550+11*80+35*200+4000+50*46*2</f>
        <v>22530</v>
      </c>
      <c r="E2906" s="247">
        <f t="shared" ref="E2906:E2917" si="496">E2905+1</f>
        <v>8</v>
      </c>
    </row>
    <row r="2907" ht="17.25" customHeight="1">
      <c r="A2907" s="152">
        <v>4063.0</v>
      </c>
      <c r="B2907" s="65" t="s">
        <v>70</v>
      </c>
      <c r="C2907" s="156"/>
      <c r="D2907" s="22">
        <v>1000.0</v>
      </c>
      <c r="E2907" s="247">
        <f t="shared" si="496"/>
        <v>9</v>
      </c>
    </row>
    <row r="2908" ht="15.75" customHeight="1">
      <c r="A2908" s="152">
        <v>4065.0</v>
      </c>
      <c r="B2908" s="65" t="s">
        <v>16</v>
      </c>
      <c r="C2908" s="170"/>
      <c r="D2908" s="22">
        <v>0.0</v>
      </c>
      <c r="E2908" s="247">
        <f t="shared" si="496"/>
        <v>10</v>
      </c>
    </row>
    <row r="2909" ht="15.75" customHeight="1">
      <c r="A2909" s="152">
        <v>4080.0</v>
      </c>
      <c r="B2909" s="65" t="s">
        <v>31</v>
      </c>
      <c r="C2909" s="170"/>
      <c r="D2909" s="22">
        <v>1000.0</v>
      </c>
      <c r="E2909" s="247">
        <f t="shared" si="496"/>
        <v>11</v>
      </c>
    </row>
    <row r="2910" ht="15.75" customHeight="1">
      <c r="A2910" s="152">
        <v>4082.0</v>
      </c>
      <c r="B2910" s="65" t="s">
        <v>45</v>
      </c>
      <c r="C2910" s="170"/>
      <c r="D2910" s="22">
        <f>300+11*300+200*37</f>
        <v>11000</v>
      </c>
      <c r="E2910" s="247">
        <f t="shared" si="496"/>
        <v>12</v>
      </c>
    </row>
    <row r="2911" ht="15.75" customHeight="1">
      <c r="A2911" s="152">
        <v>4190.0</v>
      </c>
      <c r="B2911" s="65" t="s">
        <v>32</v>
      </c>
      <c r="C2911" s="170"/>
      <c r="D2911" s="22">
        <f>1*800+10*600+37*400</f>
        <v>21600</v>
      </c>
      <c r="E2911" s="247">
        <f t="shared" si="496"/>
        <v>13</v>
      </c>
    </row>
    <row r="2912" ht="15.75" customHeight="1">
      <c r="A2912" s="152">
        <v>5420.0</v>
      </c>
      <c r="B2912" s="65" t="s">
        <v>134</v>
      </c>
      <c r="C2912" s="170"/>
      <c r="D2912" s="22">
        <v>1000.0</v>
      </c>
      <c r="E2912" s="247">
        <f t="shared" si="496"/>
        <v>14</v>
      </c>
    </row>
    <row r="2913" ht="15.75" customHeight="1">
      <c r="A2913" s="152">
        <v>5461.0</v>
      </c>
      <c r="B2913" s="65" t="s">
        <v>84</v>
      </c>
      <c r="C2913" s="170"/>
      <c r="D2913" s="22">
        <f>6000+8000</f>
        <v>14000</v>
      </c>
      <c r="E2913" s="247">
        <f t="shared" si="496"/>
        <v>15</v>
      </c>
    </row>
    <row r="2914" ht="15.75" customHeight="1">
      <c r="A2914" s="152">
        <v>5501.0</v>
      </c>
      <c r="B2914" s="65" t="s">
        <v>106</v>
      </c>
      <c r="C2914" s="170"/>
      <c r="D2914" s="22">
        <v>0.0</v>
      </c>
      <c r="E2914" s="247">
        <f t="shared" si="496"/>
        <v>16</v>
      </c>
    </row>
    <row r="2915" ht="15.75" customHeight="1">
      <c r="A2915" s="152">
        <v>5710.0</v>
      </c>
      <c r="B2915" s="65" t="s">
        <v>143</v>
      </c>
      <c r="C2915" s="170"/>
      <c r="D2915" s="22">
        <v>5700.0</v>
      </c>
      <c r="E2915" s="247">
        <f t="shared" si="496"/>
        <v>17</v>
      </c>
    </row>
    <row r="2916" ht="15.75" customHeight="1">
      <c r="A2916" s="152">
        <v>6070.0</v>
      </c>
      <c r="B2916" s="65" t="s">
        <v>35</v>
      </c>
      <c r="C2916" s="170"/>
      <c r="D2916" s="22">
        <f>11*3000</f>
        <v>33000</v>
      </c>
      <c r="E2916" s="247">
        <f t="shared" si="496"/>
        <v>18</v>
      </c>
    </row>
    <row r="2917" ht="15.75" customHeight="1">
      <c r="A2917" s="152">
        <v>6250.0</v>
      </c>
      <c r="B2917" s="65" t="s">
        <v>74</v>
      </c>
      <c r="C2917" s="170"/>
      <c r="D2917" s="22">
        <v>0.0</v>
      </c>
      <c r="E2917" s="247">
        <f t="shared" si="496"/>
        <v>19</v>
      </c>
    </row>
    <row r="2918" ht="15.75" customHeight="1">
      <c r="A2918" s="19"/>
      <c r="B2918" s="383" t="s">
        <v>19</v>
      </c>
      <c r="C2918" s="31">
        <f t="shared" ref="C2918:D2918" si="497">SUM(C2899:C2917)</f>
        <v>0</v>
      </c>
      <c r="D2918" s="32">
        <f t="shared" si="497"/>
        <v>120310</v>
      </c>
      <c r="E2918" s="25"/>
    </row>
    <row r="2919" ht="15.75" customHeight="1">
      <c r="A2919" s="19"/>
      <c r="B2919" s="174"/>
      <c r="C2919" s="39"/>
      <c r="D2919" s="32">
        <f>C2918-D2918</f>
        <v>-120310</v>
      </c>
      <c r="E2919" s="25"/>
    </row>
    <row r="2920" ht="15.75" customHeight="1">
      <c r="A2920" s="97">
        <v>242301.0</v>
      </c>
      <c r="B2920" s="58" t="s">
        <v>526</v>
      </c>
      <c r="C2920" s="12"/>
      <c r="D2920" s="13"/>
      <c r="E2920" s="14"/>
    </row>
    <row r="2921" ht="15.75" customHeight="1">
      <c r="A2921" s="19">
        <v>3010.0</v>
      </c>
      <c r="B2921" s="174" t="s">
        <v>2</v>
      </c>
      <c r="C2921" s="168">
        <v>0.0</v>
      </c>
      <c r="D2921" s="22"/>
      <c r="E2921" s="247">
        <v>20.0</v>
      </c>
    </row>
    <row r="2922" ht="15.75" customHeight="1">
      <c r="A2922" s="19">
        <v>3110.0</v>
      </c>
      <c r="B2922" s="174" t="s">
        <v>111</v>
      </c>
      <c r="C2922" s="170">
        <f>(2*125000)+(2*55000)+(55*35000)-(25000+45000+15000)</f>
        <v>2200000</v>
      </c>
      <c r="D2922" s="22"/>
      <c r="E2922" s="247">
        <v>21.0</v>
      </c>
    </row>
    <row r="2923" ht="15.75" customHeight="1">
      <c r="A2923" s="19">
        <v>3076.0</v>
      </c>
      <c r="B2923" s="174" t="s">
        <v>281</v>
      </c>
      <c r="C2923" s="170">
        <f>250*45</f>
        <v>11250</v>
      </c>
      <c r="D2923" s="22"/>
      <c r="E2923" s="247">
        <v>22.0</v>
      </c>
    </row>
    <row r="2924" ht="15.75" customHeight="1">
      <c r="A2924" s="19">
        <v>4010.0</v>
      </c>
      <c r="B2924" s="174" t="s">
        <v>48</v>
      </c>
      <c r="C2924" s="39"/>
      <c r="D2924" s="22">
        <v>51000.0</v>
      </c>
      <c r="E2924" s="247">
        <v>23.0</v>
      </c>
    </row>
    <row r="2925" ht="15.75" customHeight="1">
      <c r="A2925" s="19">
        <v>4010.0</v>
      </c>
      <c r="B2925" s="174" t="s">
        <v>48</v>
      </c>
      <c r="C2925" s="39"/>
      <c r="D2925" s="29">
        <v>0.0</v>
      </c>
      <c r="E2925" s="247">
        <v>24.0</v>
      </c>
    </row>
    <row r="2926" ht="15.75" customHeight="1">
      <c r="A2926" s="19">
        <v>4013.0</v>
      </c>
      <c r="B2926" s="174" t="s">
        <v>98</v>
      </c>
      <c r="C2926" s="39"/>
      <c r="D2926" s="22">
        <f>100*240+46*240</f>
        <v>35040</v>
      </c>
      <c r="E2926" s="247">
        <v>25.0</v>
      </c>
    </row>
    <row r="2927" ht="15.75" customHeight="1">
      <c r="A2927" s="19">
        <v>4063.0</v>
      </c>
      <c r="B2927" s="174" t="s">
        <v>70</v>
      </c>
      <c r="C2927" s="39"/>
      <c r="D2927" s="22">
        <v>15000.0</v>
      </c>
      <c r="E2927" s="247">
        <v>26.0</v>
      </c>
    </row>
    <row r="2928" ht="15.75" customHeight="1">
      <c r="A2928" s="19">
        <v>4076.0</v>
      </c>
      <c r="B2928" s="174" t="s">
        <v>29</v>
      </c>
      <c r="C2928" s="39"/>
      <c r="D2928" s="22">
        <f>55*3*(50+135)+28*135+20*(50+135)+6*(50+135)+56*135+45*185+2000+4000</f>
        <v>61000</v>
      </c>
      <c r="E2928" s="247">
        <v>27.0</v>
      </c>
    </row>
    <row r="2929" ht="15.75" customHeight="1">
      <c r="A2929" s="19">
        <v>4078.0</v>
      </c>
      <c r="B2929" s="174" t="s">
        <v>30</v>
      </c>
      <c r="C2929" s="39"/>
      <c r="D2929" s="22">
        <v>35000.0</v>
      </c>
      <c r="E2929" s="247">
        <v>28.0</v>
      </c>
    </row>
    <row r="2930" ht="15.75" customHeight="1">
      <c r="A2930" s="19">
        <v>5501.0</v>
      </c>
      <c r="B2930" s="384" t="s">
        <v>106</v>
      </c>
      <c r="C2930" s="39"/>
      <c r="D2930" s="29">
        <v>31000.0</v>
      </c>
      <c r="E2930" s="247">
        <v>29.0</v>
      </c>
    </row>
    <row r="2931" ht="15.75" customHeight="1">
      <c r="A2931" s="19"/>
      <c r="B2931" s="383" t="s">
        <v>19</v>
      </c>
      <c r="C2931" s="31">
        <f t="shared" ref="C2931:D2931" si="498">SUM(C2921:C2930)</f>
        <v>2211250</v>
      </c>
      <c r="D2931" s="32">
        <f t="shared" si="498"/>
        <v>228040</v>
      </c>
      <c r="E2931" s="25"/>
    </row>
    <row r="2932" ht="15.75" customHeight="1">
      <c r="A2932" s="19"/>
      <c r="B2932" s="174"/>
      <c r="C2932" s="39"/>
      <c r="D2932" s="32">
        <f>C2931-D2931</f>
        <v>1983210</v>
      </c>
      <c r="E2932" s="25"/>
    </row>
    <row r="2933" ht="15.75" customHeight="1">
      <c r="A2933" s="97">
        <v>242302.0</v>
      </c>
      <c r="B2933" s="385" t="s">
        <v>527</v>
      </c>
      <c r="C2933" s="12"/>
      <c r="D2933" s="13"/>
      <c r="E2933" s="37"/>
    </row>
    <row r="2934" ht="15.75" customHeight="1">
      <c r="A2934" s="27">
        <v>3110.0</v>
      </c>
      <c r="B2934" s="174" t="s">
        <v>111</v>
      </c>
      <c r="C2934" s="168">
        <v>0.0</v>
      </c>
      <c r="D2934" s="22"/>
      <c r="E2934" s="247">
        <f>E2930+1</f>
        <v>30</v>
      </c>
    </row>
    <row r="2935" ht="15.75" customHeight="1">
      <c r="A2935" s="27">
        <v>3076.0</v>
      </c>
      <c r="B2935" s="174" t="s">
        <v>281</v>
      </c>
      <c r="C2935" s="168">
        <v>0.0</v>
      </c>
      <c r="D2935" s="22"/>
      <c r="E2935" s="247">
        <f t="shared" ref="E2935:E2941" si="499">E2934+1</f>
        <v>31</v>
      </c>
    </row>
    <row r="2936" ht="15.75" customHeight="1">
      <c r="A2936" s="19">
        <v>4010.0</v>
      </c>
      <c r="B2936" s="174" t="s">
        <v>48</v>
      </c>
      <c r="C2936" s="170"/>
      <c r="D2936" s="22">
        <v>2000.0</v>
      </c>
      <c r="E2936" s="247">
        <f t="shared" si="499"/>
        <v>32</v>
      </c>
    </row>
    <row r="2937" ht="15.75" customHeight="1">
      <c r="A2937" s="19">
        <v>4013.0</v>
      </c>
      <c r="B2937" s="174" t="s">
        <v>98</v>
      </c>
      <c r="C2937" s="170"/>
      <c r="D2937" s="22">
        <f>6*3*40+10*40</f>
        <v>1120</v>
      </c>
      <c r="E2937" s="247">
        <f t="shared" si="499"/>
        <v>33</v>
      </c>
    </row>
    <row r="2938" ht="15.75" customHeight="1">
      <c r="A2938" s="19">
        <v>4040.0</v>
      </c>
      <c r="B2938" s="174" t="s">
        <v>24</v>
      </c>
      <c r="C2938" s="170"/>
      <c r="D2938" s="22">
        <f>20*100</f>
        <v>2000</v>
      </c>
      <c r="E2938" s="247">
        <f t="shared" si="499"/>
        <v>34</v>
      </c>
    </row>
    <row r="2939" ht="15.75" customHeight="1">
      <c r="A2939" s="19">
        <v>4076.0</v>
      </c>
      <c r="B2939" s="174" t="s">
        <v>29</v>
      </c>
      <c r="C2939" s="170"/>
      <c r="D2939" s="22">
        <f>3*40*75</f>
        <v>9000</v>
      </c>
      <c r="E2939" s="247">
        <f t="shared" si="499"/>
        <v>35</v>
      </c>
    </row>
    <row r="2940" ht="15.75" customHeight="1">
      <c r="A2940" s="19">
        <v>4078.0</v>
      </c>
      <c r="B2940" s="174" t="s">
        <v>30</v>
      </c>
      <c r="C2940" s="170"/>
      <c r="D2940" s="29">
        <v>6000.0</v>
      </c>
      <c r="E2940" s="247">
        <f t="shared" si="499"/>
        <v>36</v>
      </c>
    </row>
    <row r="2941" ht="15.75" customHeight="1">
      <c r="A2941" s="19">
        <v>5461.0</v>
      </c>
      <c r="B2941" s="174" t="s">
        <v>84</v>
      </c>
      <c r="C2941" s="170"/>
      <c r="D2941" s="22">
        <f>3000+35000</f>
        <v>38000</v>
      </c>
      <c r="E2941" s="247">
        <f t="shared" si="499"/>
        <v>37</v>
      </c>
    </row>
    <row r="2942" ht="15.75" customHeight="1">
      <c r="A2942" s="19"/>
      <c r="B2942" s="383" t="s">
        <v>19</v>
      </c>
      <c r="C2942" s="31">
        <f t="shared" ref="C2942:D2942" si="500">SUM(C2934:C2941)</f>
        <v>0</v>
      </c>
      <c r="D2942" s="32">
        <f t="shared" si="500"/>
        <v>58120</v>
      </c>
      <c r="E2942" s="25"/>
    </row>
    <row r="2943" ht="15.75" customHeight="1">
      <c r="A2943" s="19"/>
      <c r="B2943" s="174"/>
      <c r="C2943" s="39"/>
      <c r="D2943" s="32">
        <f>C2942-D2942</f>
        <v>-58120</v>
      </c>
      <c r="E2943" s="25"/>
    </row>
    <row r="2944" ht="15.75" customHeight="1">
      <c r="A2944" s="97">
        <v>242303.0</v>
      </c>
      <c r="B2944" s="365" t="s">
        <v>528</v>
      </c>
      <c r="C2944" s="12"/>
      <c r="D2944" s="13"/>
      <c r="E2944" s="37"/>
    </row>
    <row r="2945" ht="15.75" customHeight="1">
      <c r="A2945" s="19">
        <v>3011.0</v>
      </c>
      <c r="B2945" s="174" t="s">
        <v>22</v>
      </c>
      <c r="C2945" s="170">
        <f>168*450+895*15</f>
        <v>89025</v>
      </c>
      <c r="D2945" s="22"/>
      <c r="E2945" s="247">
        <f>E2941+1</f>
        <v>38</v>
      </c>
    </row>
    <row r="2946" ht="15.75" customHeight="1">
      <c r="A2946" s="19">
        <v>3014.0</v>
      </c>
      <c r="B2946" s="174" t="s">
        <v>55</v>
      </c>
      <c r="C2946" s="170">
        <f>100*450+35*450+2*11*450+11*450*2</f>
        <v>80550</v>
      </c>
      <c r="D2946" s="22"/>
      <c r="E2946" s="247">
        <f t="shared" ref="E2946:E2956" si="501">1+E2945</f>
        <v>39</v>
      </c>
    </row>
    <row r="2947" ht="15.75" customHeight="1">
      <c r="A2947" s="19">
        <v>3030.0</v>
      </c>
      <c r="B2947" s="174" t="s">
        <v>117</v>
      </c>
      <c r="C2947" s="170">
        <f>10000*1.13</f>
        <v>11300</v>
      </c>
      <c r="D2947" s="22"/>
      <c r="E2947" s="247">
        <f t="shared" si="501"/>
        <v>40</v>
      </c>
    </row>
    <row r="2948" ht="15.75" customHeight="1">
      <c r="A2948" s="19">
        <v>4010.0</v>
      </c>
      <c r="B2948" s="174" t="s">
        <v>48</v>
      </c>
      <c r="C2948" s="170"/>
      <c r="D2948" s="22">
        <v>26500.0</v>
      </c>
      <c r="E2948" s="247">
        <f t="shared" si="501"/>
        <v>41</v>
      </c>
    </row>
    <row r="2949" ht="15.75" customHeight="1">
      <c r="A2949" s="19">
        <v>4012.0</v>
      </c>
      <c r="B2949" s="174" t="s">
        <v>118</v>
      </c>
      <c r="C2949" s="170"/>
      <c r="D2949" s="22">
        <v>40000.0</v>
      </c>
      <c r="E2949" s="247">
        <f t="shared" si="501"/>
        <v>42</v>
      </c>
    </row>
    <row r="2950" ht="15.75" customHeight="1">
      <c r="A2950" s="19">
        <v>4013.0</v>
      </c>
      <c r="B2950" s="174" t="s">
        <v>98</v>
      </c>
      <c r="C2950" s="170"/>
      <c r="D2950" s="22">
        <f>2*30*40</f>
        <v>2400</v>
      </c>
      <c r="E2950" s="247">
        <f t="shared" si="501"/>
        <v>43</v>
      </c>
    </row>
    <row r="2951" ht="15.75" customHeight="1">
      <c r="A2951" s="19">
        <v>4076.0</v>
      </c>
      <c r="B2951" s="174" t="s">
        <v>29</v>
      </c>
      <c r="C2951" s="170"/>
      <c r="D2951" s="22">
        <f>540*360</f>
        <v>194400</v>
      </c>
      <c r="E2951" s="247">
        <f t="shared" si="501"/>
        <v>44</v>
      </c>
    </row>
    <row r="2952" ht="15.75" customHeight="1">
      <c r="A2952" s="19">
        <v>4077.0</v>
      </c>
      <c r="B2952" s="174" t="s">
        <v>328</v>
      </c>
      <c r="C2952" s="170"/>
      <c r="D2952" s="22">
        <v>20000.0</v>
      </c>
      <c r="E2952" s="247">
        <f t="shared" si="501"/>
        <v>45</v>
      </c>
    </row>
    <row r="2953" ht="15.75" customHeight="1">
      <c r="A2953" s="19">
        <v>4078.0</v>
      </c>
      <c r="B2953" s="174" t="s">
        <v>30</v>
      </c>
      <c r="C2953" s="170"/>
      <c r="D2953" s="29">
        <v>40000.0</v>
      </c>
      <c r="E2953" s="247">
        <f t="shared" si="501"/>
        <v>46</v>
      </c>
    </row>
    <row r="2954" ht="15.75" customHeight="1">
      <c r="A2954" s="19">
        <v>5461.0</v>
      </c>
      <c r="B2954" s="174" t="s">
        <v>84</v>
      </c>
      <c r="C2954" s="170"/>
      <c r="D2954" s="22">
        <v>0.0</v>
      </c>
      <c r="E2954" s="247">
        <f t="shared" si="501"/>
        <v>47</v>
      </c>
    </row>
    <row r="2955" ht="15.75" customHeight="1">
      <c r="A2955" s="19">
        <v>6071.0</v>
      </c>
      <c r="B2955" s="174" t="s">
        <v>36</v>
      </c>
      <c r="C2955" s="170"/>
      <c r="D2955" s="22">
        <v>70650.0</v>
      </c>
      <c r="E2955" s="247">
        <f t="shared" si="501"/>
        <v>48</v>
      </c>
    </row>
    <row r="2956" ht="15.75" customHeight="1">
      <c r="A2956" s="19">
        <v>6800.0</v>
      </c>
      <c r="B2956" s="174" t="s">
        <v>114</v>
      </c>
      <c r="C2956" s="170"/>
      <c r="D2956" s="22">
        <f>2*2*5*547.5</f>
        <v>10950</v>
      </c>
      <c r="E2956" s="247">
        <f t="shared" si="501"/>
        <v>49</v>
      </c>
    </row>
    <row r="2957" ht="15.75" customHeight="1">
      <c r="A2957" s="19">
        <v>6993.0</v>
      </c>
      <c r="B2957" s="174" t="s">
        <v>115</v>
      </c>
      <c r="C2957" s="170"/>
      <c r="D2957" s="22">
        <f>190*12.5</f>
        <v>2375</v>
      </c>
      <c r="E2957" s="247">
        <f>E2956+1</f>
        <v>50</v>
      </c>
    </row>
    <row r="2958" ht="15.75" customHeight="1">
      <c r="A2958" s="19"/>
      <c r="B2958" s="383" t="s">
        <v>19</v>
      </c>
      <c r="C2958" s="31">
        <f t="shared" ref="C2958:D2958" si="502">SUM(C2945:C2957)</f>
        <v>180875</v>
      </c>
      <c r="D2958" s="32">
        <f t="shared" si="502"/>
        <v>407275</v>
      </c>
      <c r="E2958" s="25"/>
    </row>
    <row r="2959" ht="15.75" customHeight="1">
      <c r="A2959" s="19"/>
      <c r="B2959" s="174"/>
      <c r="C2959" s="39"/>
      <c r="D2959" s="32">
        <f>C2958-D2958</f>
        <v>-226400</v>
      </c>
      <c r="E2959" s="25"/>
    </row>
    <row r="2960" ht="15.75" customHeight="1">
      <c r="A2960" s="97">
        <v>242304.0</v>
      </c>
      <c r="B2960" s="365" t="s">
        <v>529</v>
      </c>
      <c r="C2960" s="12"/>
      <c r="D2960" s="13"/>
      <c r="E2960" s="37"/>
    </row>
    <row r="2961" ht="15.75" customHeight="1">
      <c r="A2961" s="19">
        <v>3011.0</v>
      </c>
      <c r="B2961" s="174" t="s">
        <v>22</v>
      </c>
      <c r="C2961" s="170">
        <f>77*70</f>
        <v>5390</v>
      </c>
      <c r="D2961" s="22"/>
      <c r="E2961" s="247">
        <f>E2957+1</f>
        <v>51</v>
      </c>
    </row>
    <row r="2962" ht="15.75" customHeight="1">
      <c r="A2962" s="19">
        <v>3030.0</v>
      </c>
      <c r="B2962" s="174" t="s">
        <v>117</v>
      </c>
      <c r="C2962" s="170">
        <f>80000*1.13</f>
        <v>90400</v>
      </c>
      <c r="D2962" s="22"/>
      <c r="E2962" s="247">
        <f t="shared" ref="E2962:E2968" si="503">1+E2961</f>
        <v>52</v>
      </c>
    </row>
    <row r="2963" ht="15.75" customHeight="1">
      <c r="A2963" s="19">
        <v>4010.0</v>
      </c>
      <c r="B2963" s="174" t="s">
        <v>48</v>
      </c>
      <c r="C2963" s="170"/>
      <c r="D2963" s="22">
        <v>8000.0</v>
      </c>
      <c r="E2963" s="247">
        <f t="shared" si="503"/>
        <v>53</v>
      </c>
    </row>
    <row r="2964" ht="15.75" customHeight="1">
      <c r="A2964" s="19">
        <v>4012.0</v>
      </c>
      <c r="B2964" s="174" t="s">
        <v>118</v>
      </c>
      <c r="C2964" s="170"/>
      <c r="D2964" s="22">
        <f>C2962/1.9</f>
        <v>47578.94737</v>
      </c>
      <c r="E2964" s="247">
        <f t="shared" si="503"/>
        <v>54</v>
      </c>
    </row>
    <row r="2965" ht="15.75" customHeight="1">
      <c r="A2965" s="19">
        <v>4013.0</v>
      </c>
      <c r="B2965" s="174" t="s">
        <v>98</v>
      </c>
      <c r="C2965" s="170"/>
      <c r="D2965" s="22">
        <f>25*40*2</f>
        <v>2000</v>
      </c>
      <c r="E2965" s="247">
        <f t="shared" si="503"/>
        <v>55</v>
      </c>
    </row>
    <row r="2966" ht="15.75" customHeight="1">
      <c r="A2966" s="19">
        <v>4078.0</v>
      </c>
      <c r="B2966" s="174" t="s">
        <v>30</v>
      </c>
      <c r="C2966" s="170"/>
      <c r="D2966" s="29">
        <v>5000.0</v>
      </c>
      <c r="E2966" s="247">
        <f t="shared" si="503"/>
        <v>56</v>
      </c>
    </row>
    <row r="2967" ht="15.75" customHeight="1">
      <c r="A2967" s="19">
        <v>5461.0</v>
      </c>
      <c r="B2967" s="174" t="s">
        <v>84</v>
      </c>
      <c r="C2967" s="170"/>
      <c r="D2967" s="22">
        <v>5500.0</v>
      </c>
      <c r="E2967" s="247">
        <f t="shared" si="503"/>
        <v>57</v>
      </c>
    </row>
    <row r="2968" ht="15.75" customHeight="1">
      <c r="A2968" s="19">
        <v>6800.0</v>
      </c>
      <c r="B2968" s="174" t="s">
        <v>114</v>
      </c>
      <c r="C2968" s="170"/>
      <c r="D2968" s="22">
        <f>6*7*2*547.5</f>
        <v>45990</v>
      </c>
      <c r="E2968" s="247">
        <f t="shared" si="503"/>
        <v>58</v>
      </c>
    </row>
    <row r="2969" ht="15.75" customHeight="1">
      <c r="A2969" s="19">
        <v>6993.0</v>
      </c>
      <c r="B2969" s="174" t="s">
        <v>115</v>
      </c>
      <c r="C2969" s="170"/>
      <c r="D2969" s="22">
        <f>77*6.25</f>
        <v>481.25</v>
      </c>
      <c r="E2969" s="247">
        <f>E2968+1</f>
        <v>59</v>
      </c>
    </row>
    <row r="2970" ht="15.75" customHeight="1">
      <c r="A2970" s="19"/>
      <c r="B2970" s="383" t="s">
        <v>19</v>
      </c>
      <c r="C2970" s="31">
        <f t="shared" ref="C2970:D2970" si="504">SUM(C2961:C2969)</f>
        <v>95790</v>
      </c>
      <c r="D2970" s="32">
        <f t="shared" si="504"/>
        <v>114550.1974</v>
      </c>
      <c r="E2970" s="25"/>
    </row>
    <row r="2971" ht="15.75" customHeight="1">
      <c r="A2971" s="19"/>
      <c r="B2971" s="174"/>
      <c r="C2971" s="39"/>
      <c r="D2971" s="32">
        <f>C2970-D2970</f>
        <v>-18760.19737</v>
      </c>
      <c r="E2971" s="25"/>
    </row>
    <row r="2972" ht="15.75" customHeight="1">
      <c r="A2972" s="97">
        <v>242305.0</v>
      </c>
      <c r="B2972" s="365" t="s">
        <v>530</v>
      </c>
      <c r="C2972" s="12"/>
      <c r="D2972" s="13"/>
      <c r="E2972" s="37"/>
    </row>
    <row r="2973" ht="15.75" customHeight="1">
      <c r="A2973" s="27">
        <v>3064.0</v>
      </c>
      <c r="B2973" s="386" t="s">
        <v>531</v>
      </c>
      <c r="C2973" s="170">
        <f>2*5000+2*4000+2000</f>
        <v>20000</v>
      </c>
      <c r="D2973" s="22"/>
      <c r="E2973" s="247">
        <f>E2969+1</f>
        <v>60</v>
      </c>
    </row>
    <row r="2974" ht="15.75" customHeight="1">
      <c r="A2974" s="19">
        <v>4063.0</v>
      </c>
      <c r="B2974" s="174" t="s">
        <v>70</v>
      </c>
      <c r="C2974" s="170"/>
      <c r="D2974" s="22">
        <f>16000+2*750+3800+1500</f>
        <v>22800</v>
      </c>
      <c r="E2974" s="247">
        <f t="shared" ref="E2974:E2975" si="505">E2973+1</f>
        <v>61</v>
      </c>
    </row>
    <row r="2975" ht="15.75" customHeight="1">
      <c r="A2975" s="19">
        <v>4069.0</v>
      </c>
      <c r="B2975" s="174" t="s">
        <v>181</v>
      </c>
      <c r="C2975" s="170"/>
      <c r="D2975" s="22">
        <f>4700</f>
        <v>4700</v>
      </c>
      <c r="E2975" s="247">
        <f t="shared" si="505"/>
        <v>62</v>
      </c>
    </row>
    <row r="2976" ht="15.75" customHeight="1">
      <c r="A2976" s="19"/>
      <c r="B2976" s="383" t="s">
        <v>19</v>
      </c>
      <c r="C2976" s="31">
        <f t="shared" ref="C2976:D2976" si="506">SUM(C2973:C2975)</f>
        <v>20000</v>
      </c>
      <c r="D2976" s="32">
        <f t="shared" si="506"/>
        <v>27500</v>
      </c>
      <c r="E2976" s="25"/>
    </row>
    <row r="2977" ht="15.75" customHeight="1">
      <c r="A2977" s="19"/>
      <c r="B2977" s="174"/>
      <c r="C2977" s="39"/>
      <c r="D2977" s="32">
        <f>C2976-D2976</f>
        <v>-7500</v>
      </c>
      <c r="E2977" s="25"/>
    </row>
    <row r="2978" ht="15.75" customHeight="1">
      <c r="A2978" s="97">
        <v>242306.0</v>
      </c>
      <c r="B2978" s="58" t="s">
        <v>532</v>
      </c>
      <c r="C2978" s="12"/>
      <c r="D2978" s="13"/>
      <c r="E2978" s="14"/>
    </row>
    <row r="2979" ht="15.75" customHeight="1">
      <c r="A2979" s="19">
        <v>3011.0</v>
      </c>
      <c r="B2979" s="174" t="s">
        <v>22</v>
      </c>
      <c r="C2979" s="170">
        <f>30*300</f>
        <v>9000</v>
      </c>
      <c r="D2979" s="22"/>
      <c r="E2979" s="247">
        <f>E2975+1</f>
        <v>63</v>
      </c>
    </row>
    <row r="2980" ht="15.75" customHeight="1">
      <c r="A2980" s="19">
        <v>4076.0</v>
      </c>
      <c r="B2980" s="174" t="s">
        <v>29</v>
      </c>
      <c r="C2980" s="170"/>
      <c r="D2980" s="22">
        <v>0.0</v>
      </c>
      <c r="E2980" s="247">
        <f t="shared" ref="E2980:E2982" si="507">E2979+1</f>
        <v>64</v>
      </c>
    </row>
    <row r="2981" ht="15.75" customHeight="1">
      <c r="A2981" s="19">
        <v>5010.0</v>
      </c>
      <c r="B2981" s="174" t="s">
        <v>61</v>
      </c>
      <c r="C2981" s="170"/>
      <c r="D2981" s="22">
        <v>25000.0</v>
      </c>
      <c r="E2981" s="247">
        <f t="shared" si="507"/>
        <v>65</v>
      </c>
    </row>
    <row r="2982" ht="15.75" customHeight="1">
      <c r="A2982" s="19">
        <v>5810.0</v>
      </c>
      <c r="B2982" s="174" t="s">
        <v>34</v>
      </c>
      <c r="C2982" s="170"/>
      <c r="D2982" s="29">
        <v>7000.0</v>
      </c>
      <c r="E2982" s="247">
        <f t="shared" si="507"/>
        <v>66</v>
      </c>
    </row>
    <row r="2983" ht="15.75" customHeight="1">
      <c r="A2983" s="19"/>
      <c r="B2983" s="185" t="s">
        <v>19</v>
      </c>
      <c r="C2983" s="31">
        <f t="shared" ref="C2983:D2983" si="508">SUM(C2979:C2982)</f>
        <v>9000</v>
      </c>
      <c r="D2983" s="32">
        <f t="shared" si="508"/>
        <v>32000</v>
      </c>
      <c r="E2983" s="25"/>
    </row>
    <row r="2984" ht="15.75" customHeight="1">
      <c r="A2984" s="19"/>
      <c r="B2984" s="174"/>
      <c r="C2984" s="39"/>
      <c r="D2984" s="32">
        <f>C2983-D2983</f>
        <v>-23000</v>
      </c>
      <c r="E2984" s="25"/>
    </row>
    <row r="2985" ht="15.75" customHeight="1">
      <c r="A2985" s="97">
        <v>242307.0</v>
      </c>
      <c r="B2985" s="365" t="s">
        <v>533</v>
      </c>
      <c r="C2985" s="12"/>
      <c r="D2985" s="13"/>
      <c r="E2985" s="37"/>
    </row>
    <row r="2986" ht="15.75" customHeight="1">
      <c r="A2986" s="183">
        <v>3011.0</v>
      </c>
      <c r="B2986" s="184" t="s">
        <v>22</v>
      </c>
      <c r="C2986" s="170">
        <f>70*110</f>
        <v>7700</v>
      </c>
      <c r="D2986" s="22"/>
      <c r="E2986" s="247">
        <f>E2982+1</f>
        <v>67</v>
      </c>
    </row>
    <row r="2987" ht="15.75" customHeight="1">
      <c r="A2987" s="183">
        <v>3030.0</v>
      </c>
      <c r="B2987" s="184" t="s">
        <v>117</v>
      </c>
      <c r="C2987" s="168">
        <f>5000*1.13</f>
        <v>5650</v>
      </c>
      <c r="D2987" s="22"/>
      <c r="E2987" s="247">
        <f t="shared" ref="E2987:E2994" si="509">E2986+1</f>
        <v>68</v>
      </c>
    </row>
    <row r="2988" ht="15.75" customHeight="1">
      <c r="A2988" s="183">
        <v>4012.0</v>
      </c>
      <c r="B2988" s="184" t="s">
        <v>118</v>
      </c>
      <c r="C2988" s="170"/>
      <c r="D2988" s="22">
        <f>C2987/1.9</f>
        <v>2973.684211</v>
      </c>
      <c r="E2988" s="247">
        <f t="shared" si="509"/>
        <v>69</v>
      </c>
    </row>
    <row r="2989" ht="15.75" customHeight="1">
      <c r="A2989" s="183">
        <v>4013.0</v>
      </c>
      <c r="B2989" s="184" t="s">
        <v>98</v>
      </c>
      <c r="C2989" s="170"/>
      <c r="D2989" s="22">
        <f>10*40</f>
        <v>400</v>
      </c>
      <c r="E2989" s="247">
        <f t="shared" si="509"/>
        <v>70</v>
      </c>
    </row>
    <row r="2990" ht="15.75" customHeight="1">
      <c r="A2990" s="183">
        <v>4047.0</v>
      </c>
      <c r="B2990" s="184" t="s">
        <v>14</v>
      </c>
      <c r="C2990" s="170"/>
      <c r="D2990" s="22">
        <f>4000</f>
        <v>4000</v>
      </c>
      <c r="E2990" s="247">
        <f t="shared" si="509"/>
        <v>71</v>
      </c>
    </row>
    <row r="2991" ht="15.75" customHeight="1">
      <c r="A2991" s="183">
        <v>4076.0</v>
      </c>
      <c r="B2991" s="184" t="s">
        <v>29</v>
      </c>
      <c r="C2991" s="170"/>
      <c r="D2991" s="22">
        <f>120*110</f>
        <v>13200</v>
      </c>
      <c r="E2991" s="247">
        <f t="shared" si="509"/>
        <v>72</v>
      </c>
    </row>
    <row r="2992" ht="15.75" customHeight="1">
      <c r="A2992" s="183">
        <v>4190.0</v>
      </c>
      <c r="B2992" s="184" t="s">
        <v>32</v>
      </c>
      <c r="C2992" s="170"/>
      <c r="D2992" s="22">
        <v>0.0</v>
      </c>
      <c r="E2992" s="247">
        <f t="shared" si="509"/>
        <v>73</v>
      </c>
    </row>
    <row r="2993" ht="15.75" customHeight="1">
      <c r="A2993" s="183">
        <v>6800.0</v>
      </c>
      <c r="B2993" s="184" t="s">
        <v>114</v>
      </c>
      <c r="C2993" s="170"/>
      <c r="D2993" s="22">
        <f>547.5*3*6</f>
        <v>9855</v>
      </c>
      <c r="E2993" s="247">
        <f t="shared" si="509"/>
        <v>74</v>
      </c>
    </row>
    <row r="2994" ht="15.75" customHeight="1">
      <c r="A2994" s="183">
        <v>6993.0</v>
      </c>
      <c r="B2994" s="184" t="s">
        <v>115</v>
      </c>
      <c r="C2994" s="170"/>
      <c r="D2994" s="22">
        <f>110*6.25</f>
        <v>687.5</v>
      </c>
      <c r="E2994" s="247">
        <f t="shared" si="509"/>
        <v>75</v>
      </c>
    </row>
    <row r="2995" ht="15.75" customHeight="1">
      <c r="A2995" s="387"/>
      <c r="B2995" s="185" t="s">
        <v>19</v>
      </c>
      <c r="C2995" s="31">
        <f t="shared" ref="C2995:D2995" si="510">SUM(C2986:C2994)</f>
        <v>13350</v>
      </c>
      <c r="D2995" s="32">
        <f t="shared" si="510"/>
        <v>31116.18421</v>
      </c>
      <c r="E2995" s="25"/>
    </row>
    <row r="2996" ht="15.75" customHeight="1">
      <c r="A2996" s="387"/>
      <c r="B2996" s="185"/>
      <c r="C2996" s="31"/>
      <c r="D2996" s="32">
        <f>C2995-D2995</f>
        <v>-17766.18421</v>
      </c>
      <c r="E2996" s="25"/>
    </row>
    <row r="2997" ht="15.75" customHeight="1">
      <c r="A2997" s="97">
        <v>242308.0</v>
      </c>
      <c r="B2997" s="388" t="s">
        <v>534</v>
      </c>
      <c r="C2997" s="389"/>
      <c r="D2997" s="390"/>
      <c r="E2997" s="391"/>
    </row>
    <row r="2998" ht="15.75" customHeight="1">
      <c r="A2998" s="313">
        <v>3110.0</v>
      </c>
      <c r="B2998" s="174" t="s">
        <v>111</v>
      </c>
      <c r="C2998" s="392">
        <f>1*10000+1*15000+20000</f>
        <v>45000</v>
      </c>
      <c r="D2998" s="22"/>
      <c r="E2998" s="247">
        <f>E2994+1</f>
        <v>76</v>
      </c>
    </row>
    <row r="2999" ht="15.75" customHeight="1">
      <c r="A2999" s="152">
        <v>3076.0</v>
      </c>
      <c r="B2999" s="240" t="s">
        <v>281</v>
      </c>
      <c r="C2999" s="392">
        <f>1*20*100+1*40*100+60*100</f>
        <v>12000</v>
      </c>
      <c r="D2999" s="22"/>
      <c r="E2999" s="247">
        <f t="shared" ref="E2999:E3003" si="511">E2998+1</f>
        <v>77</v>
      </c>
    </row>
    <row r="3000" ht="15.75" customHeight="1">
      <c r="A3000" s="152">
        <v>4076.0</v>
      </c>
      <c r="B3000" s="240" t="s">
        <v>29</v>
      </c>
      <c r="C3000" s="392"/>
      <c r="D3000" s="22">
        <f>C2999</f>
        <v>12000</v>
      </c>
      <c r="E3000" s="247">
        <f t="shared" si="511"/>
        <v>78</v>
      </c>
    </row>
    <row r="3001" ht="15.75" customHeight="1">
      <c r="A3001" s="152">
        <v>4078.0</v>
      </c>
      <c r="B3001" s="65" t="s">
        <v>30</v>
      </c>
      <c r="C3001" s="392"/>
      <c r="D3001" s="22">
        <v>2000.0</v>
      </c>
      <c r="E3001" s="247">
        <f t="shared" si="511"/>
        <v>79</v>
      </c>
    </row>
    <row r="3002" ht="15.75" customHeight="1">
      <c r="A3002" s="219"/>
      <c r="B3002" s="257" t="s">
        <v>19</v>
      </c>
      <c r="C3002" s="31">
        <f>SUM(C2998:C3001)</f>
        <v>57000</v>
      </c>
      <c r="D3002" s="32">
        <f>Sum(D2998:D3001)</f>
        <v>14000</v>
      </c>
      <c r="E3002" s="247">
        <f t="shared" si="511"/>
        <v>80</v>
      </c>
    </row>
    <row r="3003" ht="15.75" customHeight="1">
      <c r="A3003" s="219"/>
      <c r="B3003" s="257"/>
      <c r="C3003" s="39"/>
      <c r="D3003" s="32">
        <f>C3002-D3002</f>
        <v>43000</v>
      </c>
      <c r="E3003" s="247">
        <f t="shared" si="511"/>
        <v>81</v>
      </c>
    </row>
    <row r="3004" ht="15.75" customHeight="1">
      <c r="A3004" s="124"/>
      <c r="B3004" s="365" t="s">
        <v>535</v>
      </c>
      <c r="C3004" s="12"/>
      <c r="D3004" s="13"/>
      <c r="E3004" s="37"/>
    </row>
    <row r="3005" ht="15.75" customHeight="1">
      <c r="A3005" s="124"/>
      <c r="B3005" s="365" t="s">
        <v>536</v>
      </c>
      <c r="C3005" s="12">
        <f t="shared" ref="C3005:D3005" si="512">C2918+C2983+C2931+C2942+C2958+C2970+C2976+C2995+C3002</f>
        <v>2587265</v>
      </c>
      <c r="D3005" s="13">
        <f t="shared" si="512"/>
        <v>1032911.382</v>
      </c>
      <c r="E3005" s="37"/>
    </row>
    <row r="3006" ht="15.75" customHeight="1">
      <c r="A3006" s="124"/>
      <c r="B3006" s="365" t="s">
        <v>537</v>
      </c>
      <c r="C3006" s="12"/>
      <c r="D3006" s="13">
        <f>C3005-D3005</f>
        <v>1554353.618</v>
      </c>
      <c r="E3006" s="37"/>
    </row>
    <row r="3007" ht="15.75" customHeight="1">
      <c r="A3007" s="124"/>
      <c r="B3007" s="365" t="s">
        <v>538</v>
      </c>
      <c r="C3007" s="12"/>
      <c r="D3007" s="393">
        <f>D3006/C3005</f>
        <v>0.600770937</v>
      </c>
      <c r="E3007" s="37"/>
    </row>
    <row r="3008" ht="15.75" customHeight="1">
      <c r="A3008" s="19"/>
      <c r="B3008" s="174"/>
      <c r="C3008" s="381"/>
      <c r="D3008" s="221"/>
      <c r="E3008" s="40"/>
    </row>
    <row r="3009" ht="15.75" customHeight="1">
      <c r="A3009" s="19"/>
      <c r="B3009" s="174"/>
      <c r="C3009" s="381"/>
      <c r="D3009" s="221"/>
      <c r="E3009" s="40"/>
    </row>
    <row r="3010" ht="15.75" customHeight="1">
      <c r="A3010" s="6"/>
      <c r="B3010" s="15" t="s">
        <v>539</v>
      </c>
      <c r="C3010" s="16" t="s">
        <v>6</v>
      </c>
      <c r="D3010" s="5"/>
      <c r="E3010" s="9"/>
    </row>
    <row r="3011" ht="15.75" customHeight="1">
      <c r="A3011" s="97">
        <v>252300.0</v>
      </c>
      <c r="B3011" s="365" t="s">
        <v>540</v>
      </c>
      <c r="C3011" s="12" t="s">
        <v>2</v>
      </c>
      <c r="D3011" s="13" t="s">
        <v>3</v>
      </c>
      <c r="E3011" s="14" t="s">
        <v>4</v>
      </c>
    </row>
    <row r="3012" ht="15.75" customHeight="1">
      <c r="A3012" s="62">
        <v>3110.0</v>
      </c>
      <c r="B3012" s="102" t="s">
        <v>111</v>
      </c>
      <c r="C3012" s="394">
        <v>38000.0</v>
      </c>
      <c r="D3012" s="22"/>
      <c r="E3012" s="247">
        <v>1.0</v>
      </c>
    </row>
    <row r="3013" ht="15.75" customHeight="1">
      <c r="A3013" s="62">
        <v>3064.0</v>
      </c>
      <c r="B3013" s="98" t="s">
        <v>229</v>
      </c>
      <c r="C3013" s="395">
        <v>0.0</v>
      </c>
      <c r="D3013" s="22"/>
      <c r="E3013" s="247">
        <v>2.0</v>
      </c>
    </row>
    <row r="3014" ht="15.75" customHeight="1">
      <c r="A3014" s="62">
        <v>3011.0</v>
      </c>
      <c r="B3014" s="98" t="s">
        <v>22</v>
      </c>
      <c r="C3014" s="395">
        <f>300*350+450*350</f>
        <v>262500</v>
      </c>
      <c r="D3014" s="22"/>
      <c r="E3014" s="247">
        <v>3.0</v>
      </c>
    </row>
    <row r="3015" ht="15.75" customHeight="1">
      <c r="A3015" s="62">
        <v>3980.0</v>
      </c>
      <c r="B3015" s="65" t="s">
        <v>387</v>
      </c>
      <c r="C3015" s="395">
        <f>0</f>
        <v>0</v>
      </c>
      <c r="D3015" s="22"/>
      <c r="E3015" s="247">
        <f t="shared" ref="E3015:E3031" si="513">E3014+1</f>
        <v>4</v>
      </c>
    </row>
    <row r="3016" ht="15.75" customHeight="1">
      <c r="A3016" s="62">
        <v>4040.0</v>
      </c>
      <c r="B3016" s="98" t="s">
        <v>24</v>
      </c>
      <c r="C3016" s="395"/>
      <c r="D3016" s="29">
        <v>4000.0</v>
      </c>
      <c r="E3016" s="247">
        <f t="shared" si="513"/>
        <v>5</v>
      </c>
    </row>
    <row r="3017" ht="15.75" customHeight="1">
      <c r="A3017" s="62">
        <v>4047.0</v>
      </c>
      <c r="B3017" s="98" t="s">
        <v>14</v>
      </c>
      <c r="C3017" s="395"/>
      <c r="D3017" s="22">
        <v>0.0</v>
      </c>
      <c r="E3017" s="247">
        <f t="shared" si="513"/>
        <v>6</v>
      </c>
    </row>
    <row r="3018" ht="15.75" customHeight="1">
      <c r="A3018" s="19">
        <v>4050.0</v>
      </c>
      <c r="B3018" s="214" t="s">
        <v>42</v>
      </c>
      <c r="C3018" s="395"/>
      <c r="D3018" s="22">
        <f>sumif($A$3012:$A$3058,"=4190",D3012:D3058)*0.3</f>
        <v>6450</v>
      </c>
      <c r="E3018" s="247">
        <f t="shared" si="513"/>
        <v>7</v>
      </c>
    </row>
    <row r="3019" ht="15.75" customHeight="1">
      <c r="A3019" s="62">
        <v>4060.0</v>
      </c>
      <c r="B3019" s="98" t="s">
        <v>27</v>
      </c>
      <c r="C3019" s="395"/>
      <c r="D3019" s="22">
        <f>6*550+1*80+26*200+25*200</f>
        <v>13580</v>
      </c>
      <c r="E3019" s="247">
        <f t="shared" si="513"/>
        <v>8</v>
      </c>
    </row>
    <row r="3020" ht="15.75" customHeight="1">
      <c r="A3020" s="62">
        <v>4063.0</v>
      </c>
      <c r="B3020" s="98" t="s">
        <v>70</v>
      </c>
      <c r="C3020" s="395"/>
      <c r="D3020" s="29">
        <v>13000.0</v>
      </c>
      <c r="E3020" s="247">
        <f t="shared" si="513"/>
        <v>9</v>
      </c>
    </row>
    <row r="3021" ht="15.75" customHeight="1">
      <c r="A3021" s="62">
        <v>4069.0</v>
      </c>
      <c r="B3021" s="98" t="s">
        <v>181</v>
      </c>
      <c r="C3021" s="395"/>
      <c r="D3021" s="22">
        <v>1500.0</v>
      </c>
      <c r="E3021" s="247">
        <f t="shared" si="513"/>
        <v>10</v>
      </c>
    </row>
    <row r="3022" ht="15.75" customHeight="1">
      <c r="A3022" s="62">
        <v>4076.0</v>
      </c>
      <c r="B3022" s="98" t="s">
        <v>29</v>
      </c>
      <c r="C3022" s="396"/>
      <c r="D3022" s="22">
        <v>0.0</v>
      </c>
      <c r="E3022" s="247">
        <f t="shared" si="513"/>
        <v>11</v>
      </c>
    </row>
    <row r="3023" ht="15.75" customHeight="1">
      <c r="A3023" s="62">
        <v>4078.0</v>
      </c>
      <c r="B3023" s="98" t="s">
        <v>30</v>
      </c>
      <c r="C3023" s="395"/>
      <c r="D3023" s="29">
        <v>35000.0</v>
      </c>
      <c r="E3023" s="247">
        <f t="shared" si="513"/>
        <v>12</v>
      </c>
    </row>
    <row r="3024" ht="15.75" customHeight="1">
      <c r="A3024" s="62">
        <v>4080.0</v>
      </c>
      <c r="B3024" s="98" t="s">
        <v>31</v>
      </c>
      <c r="C3024" s="395"/>
      <c r="D3024" s="22">
        <v>1000.0</v>
      </c>
      <c r="E3024" s="247">
        <f t="shared" si="513"/>
        <v>13</v>
      </c>
    </row>
    <row r="3025" ht="15.75" customHeight="1">
      <c r="A3025" s="62">
        <v>4082.0</v>
      </c>
      <c r="B3025" s="98" t="s">
        <v>45</v>
      </c>
      <c r="C3025" s="395"/>
      <c r="D3025" s="22">
        <f>1*300+33*200+25*100</f>
        <v>9400</v>
      </c>
      <c r="E3025" s="247">
        <f t="shared" si="513"/>
        <v>14</v>
      </c>
    </row>
    <row r="3026" ht="15.75" customHeight="1">
      <c r="A3026" s="62">
        <v>4190.0</v>
      </c>
      <c r="B3026" s="98" t="s">
        <v>32</v>
      </c>
      <c r="C3026" s="395"/>
      <c r="D3026" s="397">
        <f>1*600+1*500+18*500+6*400+10*400+25*200</f>
        <v>21500</v>
      </c>
      <c r="E3026" s="247">
        <f t="shared" si="513"/>
        <v>15</v>
      </c>
    </row>
    <row r="3027" ht="15.75" customHeight="1">
      <c r="A3027" s="62">
        <v>5010.0</v>
      </c>
      <c r="B3027" s="98" t="s">
        <v>61</v>
      </c>
      <c r="C3027" s="395"/>
      <c r="D3027" s="397">
        <f>(30000+2850)*3*1.25+3475</f>
        <v>126662.5</v>
      </c>
      <c r="E3027" s="247">
        <f t="shared" si="513"/>
        <v>16</v>
      </c>
    </row>
    <row r="3028" ht="15.75" customHeight="1">
      <c r="A3028" s="62">
        <v>5461.0</v>
      </c>
      <c r="B3028" s="98" t="s">
        <v>84</v>
      </c>
      <c r="C3028" s="395"/>
      <c r="D3028" s="29">
        <v>110000.0</v>
      </c>
      <c r="E3028" s="247">
        <f t="shared" si="513"/>
        <v>17</v>
      </c>
    </row>
    <row r="3029" ht="15.75" customHeight="1">
      <c r="A3029" s="62">
        <v>6993.0</v>
      </c>
      <c r="B3029" s="98" t="s">
        <v>115</v>
      </c>
      <c r="C3029" s="395"/>
      <c r="D3029" s="22">
        <f>12.5*800</f>
        <v>10000</v>
      </c>
      <c r="E3029" s="247">
        <f t="shared" si="513"/>
        <v>18</v>
      </c>
    </row>
    <row r="3030" ht="15.75" customHeight="1">
      <c r="A3030" s="62">
        <v>6800.0</v>
      </c>
      <c r="B3030" s="98" t="s">
        <v>114</v>
      </c>
      <c r="C3030" s="395"/>
      <c r="D3030" s="29">
        <v>0.0</v>
      </c>
      <c r="E3030" s="247">
        <f t="shared" si="513"/>
        <v>19</v>
      </c>
    </row>
    <row r="3031" ht="15.75" customHeight="1">
      <c r="A3031" s="62">
        <v>7310.0</v>
      </c>
      <c r="B3031" s="98" t="s">
        <v>541</v>
      </c>
      <c r="C3031" s="395"/>
      <c r="D3031" s="22">
        <v>78852.0</v>
      </c>
      <c r="E3031" s="247">
        <f t="shared" si="513"/>
        <v>20</v>
      </c>
    </row>
    <row r="3032" ht="15.75" customHeight="1">
      <c r="A3032" s="101"/>
      <c r="B3032" s="106" t="s">
        <v>19</v>
      </c>
      <c r="C3032" s="31">
        <f t="shared" ref="C3032:D3032" si="514">SUM(C3012:C3031)</f>
        <v>300500</v>
      </c>
      <c r="D3032" s="32">
        <f t="shared" si="514"/>
        <v>430944.5</v>
      </c>
      <c r="E3032" s="25"/>
    </row>
    <row r="3033" ht="15.75" customHeight="1">
      <c r="A3033" s="101"/>
      <c r="B3033" s="136" t="s">
        <v>20</v>
      </c>
      <c r="C3033" s="53"/>
      <c r="D3033" s="32">
        <f>C3032-D3032</f>
        <v>-130444.5</v>
      </c>
      <c r="E3033" s="40"/>
    </row>
    <row r="3034" ht="15.75" customHeight="1">
      <c r="A3034" s="97">
        <v>252301.0</v>
      </c>
      <c r="B3034" s="365" t="s">
        <v>542</v>
      </c>
      <c r="C3034" s="12"/>
      <c r="D3034" s="13"/>
      <c r="E3034" s="37"/>
    </row>
    <row r="3035" ht="15.75" hidden="1" customHeight="1">
      <c r="A3035" s="62">
        <v>3011.0</v>
      </c>
      <c r="B3035" s="98" t="s">
        <v>22</v>
      </c>
      <c r="C3035" s="395">
        <v>0.0</v>
      </c>
      <c r="D3035" s="22"/>
      <c r="E3035" s="247">
        <f>E3031+1</f>
        <v>21</v>
      </c>
    </row>
    <row r="3036" ht="15.75" hidden="1" customHeight="1">
      <c r="A3036" s="62">
        <v>4076.0</v>
      </c>
      <c r="B3036" s="98" t="s">
        <v>29</v>
      </c>
      <c r="C3036" s="395"/>
      <c r="D3036" s="22">
        <v>0.0</v>
      </c>
      <c r="E3036" s="247">
        <f>E3035+1</f>
        <v>22</v>
      </c>
    </row>
    <row r="3037" ht="15.75" hidden="1" customHeight="1">
      <c r="A3037" s="101"/>
      <c r="B3037" s="136" t="s">
        <v>19</v>
      </c>
      <c r="C3037" s="31">
        <f t="shared" ref="C3037:D3037" si="515">SUM(C3035:C3036)</f>
        <v>0</v>
      </c>
      <c r="D3037" s="32">
        <f t="shared" si="515"/>
        <v>0</v>
      </c>
      <c r="E3037" s="25"/>
    </row>
    <row r="3038" ht="15.75" hidden="1" customHeight="1">
      <c r="A3038" s="101"/>
      <c r="B3038" s="136" t="s">
        <v>20</v>
      </c>
      <c r="C3038" s="53"/>
      <c r="D3038" s="32">
        <f>C3037-D3037</f>
        <v>0</v>
      </c>
      <c r="E3038" s="40"/>
    </row>
    <row r="3039" ht="15.75" customHeight="1">
      <c r="A3039" s="97">
        <v>252302.0</v>
      </c>
      <c r="B3039" s="365" t="s">
        <v>543</v>
      </c>
      <c r="C3039" s="12"/>
      <c r="D3039" s="13"/>
      <c r="E3039" s="37"/>
    </row>
    <row r="3040" ht="15.75" hidden="1" customHeight="1">
      <c r="A3040" s="62">
        <v>3011.0</v>
      </c>
      <c r="B3040" s="98" t="s">
        <v>22</v>
      </c>
      <c r="C3040" s="396">
        <v>0.0</v>
      </c>
      <c r="D3040" s="22"/>
      <c r="E3040" s="247">
        <f>E3036+1</f>
        <v>23</v>
      </c>
    </row>
    <row r="3041" ht="15.75" hidden="1" customHeight="1">
      <c r="A3041" s="62">
        <v>4076.0</v>
      </c>
      <c r="B3041" s="98" t="s">
        <v>29</v>
      </c>
      <c r="C3041" s="396"/>
      <c r="D3041" s="22">
        <v>0.0</v>
      </c>
      <c r="E3041" s="247">
        <f t="shared" ref="E3041:E3044" si="516">E3040+1</f>
        <v>24</v>
      </c>
    </row>
    <row r="3042" ht="15.75" hidden="1" customHeight="1">
      <c r="A3042" s="62">
        <v>5010.0</v>
      </c>
      <c r="B3042" s="98" t="s">
        <v>61</v>
      </c>
      <c r="C3042" s="396"/>
      <c r="D3042" s="22">
        <v>0.0</v>
      </c>
      <c r="E3042" s="247">
        <f t="shared" si="516"/>
        <v>25</v>
      </c>
    </row>
    <row r="3043" ht="15.75" hidden="1" customHeight="1">
      <c r="A3043" s="62">
        <v>5810.0</v>
      </c>
      <c r="B3043" s="98" t="s">
        <v>34</v>
      </c>
      <c r="C3043" s="396"/>
      <c r="D3043" s="22">
        <v>0.0</v>
      </c>
      <c r="E3043" s="247">
        <f t="shared" si="516"/>
        <v>26</v>
      </c>
    </row>
    <row r="3044" ht="15.75" hidden="1" customHeight="1">
      <c r="A3044" s="62">
        <v>5830.0</v>
      </c>
      <c r="B3044" s="98" t="s">
        <v>177</v>
      </c>
      <c r="C3044" s="39"/>
      <c r="D3044" s="22">
        <v>0.0</v>
      </c>
      <c r="E3044" s="25">
        <f t="shared" si="516"/>
        <v>27</v>
      </c>
    </row>
    <row r="3045" ht="15.75" hidden="1" customHeight="1">
      <c r="A3045" s="101"/>
      <c r="B3045" s="136" t="s">
        <v>19</v>
      </c>
      <c r="C3045" s="31">
        <f t="shared" ref="C3045:D3045" si="517">SUM(C3040:C3044)</f>
        <v>0</v>
      </c>
      <c r="D3045" s="32">
        <f t="shared" si="517"/>
        <v>0</v>
      </c>
      <c r="E3045" s="25"/>
    </row>
    <row r="3046" ht="15.75" hidden="1" customHeight="1">
      <c r="A3046" s="101"/>
      <c r="B3046" s="136" t="s">
        <v>20</v>
      </c>
      <c r="C3046" s="39"/>
      <c r="D3046" s="32">
        <f>C3045-D3045</f>
        <v>0</v>
      </c>
      <c r="E3046" s="40"/>
    </row>
    <row r="3047" ht="15.75" customHeight="1">
      <c r="A3047" s="97">
        <v>252303.0</v>
      </c>
      <c r="B3047" s="365" t="s">
        <v>544</v>
      </c>
      <c r="C3047" s="12"/>
      <c r="D3047" s="13"/>
      <c r="E3047" s="37"/>
    </row>
    <row r="3048" ht="15.75" hidden="1" customHeight="1">
      <c r="A3048" s="101">
        <v>5940.0</v>
      </c>
      <c r="B3048" s="65" t="s">
        <v>193</v>
      </c>
      <c r="C3048" s="31"/>
      <c r="D3048" s="22">
        <v>0.0</v>
      </c>
      <c r="E3048" s="40">
        <f>E3044+1</f>
        <v>28</v>
      </c>
    </row>
    <row r="3049" ht="15.75" hidden="1" customHeight="1">
      <c r="A3049" s="101"/>
      <c r="B3049" s="136" t="s">
        <v>19</v>
      </c>
      <c r="C3049" s="31">
        <f t="shared" ref="C3049:D3049" si="518">SUM(C3048)</f>
        <v>0</v>
      </c>
      <c r="D3049" s="32">
        <f t="shared" si="518"/>
        <v>0</v>
      </c>
      <c r="E3049" s="40"/>
    </row>
    <row r="3050" ht="15.75" hidden="1" customHeight="1">
      <c r="A3050" s="101"/>
      <c r="B3050" s="136" t="s">
        <v>20</v>
      </c>
      <c r="C3050" s="39"/>
      <c r="D3050" s="32">
        <f>C3049-D3049</f>
        <v>0</v>
      </c>
      <c r="E3050" s="40"/>
    </row>
    <row r="3051" ht="15.75" customHeight="1">
      <c r="A3051" s="97">
        <v>252304.0</v>
      </c>
      <c r="B3051" s="365" t="s">
        <v>545</v>
      </c>
      <c r="C3051" s="35"/>
      <c r="D3051" s="36"/>
      <c r="E3051" s="37"/>
    </row>
    <row r="3052" ht="15.75" customHeight="1">
      <c r="A3052" s="101">
        <v>3011.0</v>
      </c>
      <c r="B3052" s="214" t="s">
        <v>22</v>
      </c>
      <c r="C3052" s="394">
        <v>0.0</v>
      </c>
      <c r="D3052" s="22"/>
      <c r="E3052" s="40">
        <f>E3048+1</f>
        <v>29</v>
      </c>
    </row>
    <row r="3053" ht="15.75" customHeight="1">
      <c r="A3053" s="101">
        <v>4076.0</v>
      </c>
      <c r="B3053" s="214" t="s">
        <v>29</v>
      </c>
      <c r="C3053" s="395"/>
      <c r="D3053" s="22">
        <v>10000.0</v>
      </c>
      <c r="E3053" s="40">
        <f t="shared" ref="E3053:E3056" si="519">E3052+1</f>
        <v>30</v>
      </c>
    </row>
    <row r="3054" ht="15.75" customHeight="1">
      <c r="A3054" s="101">
        <v>5010.0</v>
      </c>
      <c r="B3054" s="214" t="s">
        <v>61</v>
      </c>
      <c r="C3054" s="395"/>
      <c r="D3054" s="29">
        <v>10700.0</v>
      </c>
      <c r="E3054" s="40">
        <f t="shared" si="519"/>
        <v>31</v>
      </c>
    </row>
    <row r="3055" ht="15.75" customHeight="1">
      <c r="A3055" s="101">
        <v>5810.0</v>
      </c>
      <c r="B3055" s="214" t="s">
        <v>34</v>
      </c>
      <c r="C3055" s="395"/>
      <c r="D3055" s="29">
        <v>4000.0</v>
      </c>
      <c r="E3055" s="40">
        <f t="shared" si="519"/>
        <v>32</v>
      </c>
    </row>
    <row r="3056" ht="15.75" customHeight="1">
      <c r="A3056" s="19">
        <v>6993.0</v>
      </c>
      <c r="B3056" s="214" t="s">
        <v>115</v>
      </c>
      <c r="C3056" s="39"/>
      <c r="D3056" s="29">
        <v>0.0</v>
      </c>
      <c r="E3056" s="40">
        <f t="shared" si="519"/>
        <v>33</v>
      </c>
    </row>
    <row r="3057" ht="15.75" customHeight="1">
      <c r="A3057" s="101"/>
      <c r="B3057" s="136" t="s">
        <v>19</v>
      </c>
      <c r="C3057" s="31">
        <f t="shared" ref="C3057:D3057" si="520">SUM(C3052:C3056)</f>
        <v>0</v>
      </c>
      <c r="D3057" s="32">
        <f t="shared" si="520"/>
        <v>24700</v>
      </c>
      <c r="E3057" s="40"/>
    </row>
    <row r="3058" ht="15.75" customHeight="1">
      <c r="A3058" s="101"/>
      <c r="B3058" s="136" t="s">
        <v>20</v>
      </c>
      <c r="C3058" s="39"/>
      <c r="D3058" s="32">
        <f>C3057-D3057</f>
        <v>-24700</v>
      </c>
      <c r="E3058" s="40"/>
    </row>
    <row r="3059" ht="15.75" customHeight="1">
      <c r="A3059" s="10"/>
      <c r="B3059" s="126" t="s">
        <v>546</v>
      </c>
      <c r="C3059" s="12">
        <f>C3032+C3037+C3045+C3057+C3049</f>
        <v>300500</v>
      </c>
      <c r="D3059" s="13">
        <f>D3057+D3049+D3032+D3037+D3045</f>
        <v>455644.5</v>
      </c>
      <c r="E3059" s="37"/>
    </row>
    <row r="3060" ht="15.75" customHeight="1">
      <c r="A3060" s="10"/>
      <c r="B3060" s="126" t="s">
        <v>547</v>
      </c>
      <c r="C3060" s="35"/>
      <c r="D3060" s="13">
        <f>C3059-D3059</f>
        <v>-155144.5</v>
      </c>
      <c r="E3060" s="37"/>
    </row>
    <row r="3061" ht="15.75" customHeight="1">
      <c r="A3061" s="19"/>
      <c r="B3061" s="174"/>
      <c r="C3061" s="381"/>
      <c r="D3061" s="221"/>
      <c r="E3061" s="40"/>
    </row>
    <row r="3062" ht="15.75" customHeight="1">
      <c r="A3062" s="19"/>
      <c r="B3062" s="174"/>
      <c r="C3062" s="381"/>
      <c r="D3062" s="221"/>
      <c r="E3062" s="40"/>
    </row>
    <row r="3063" ht="15.75" customHeight="1">
      <c r="A3063" s="6"/>
      <c r="B3063" s="15" t="s">
        <v>548</v>
      </c>
      <c r="C3063" s="16" t="s">
        <v>6</v>
      </c>
      <c r="D3063" s="5"/>
      <c r="E3063" s="9"/>
    </row>
    <row r="3064" ht="15.75" customHeight="1">
      <c r="A3064" s="289">
        <v>262300.0</v>
      </c>
      <c r="B3064" s="176" t="s">
        <v>549</v>
      </c>
      <c r="C3064" s="204" t="s">
        <v>2</v>
      </c>
      <c r="D3064" s="205" t="s">
        <v>3</v>
      </c>
      <c r="E3064" s="398" t="s">
        <v>4</v>
      </c>
    </row>
    <row r="3065" ht="15.75" customHeight="1">
      <c r="A3065" s="101">
        <v>3980.0</v>
      </c>
      <c r="B3065" s="98" t="s">
        <v>387</v>
      </c>
      <c r="C3065" s="39">
        <v>0.0</v>
      </c>
      <c r="D3065" s="22"/>
      <c r="E3065" s="25">
        <v>1.0</v>
      </c>
    </row>
    <row r="3066" ht="15.75" customHeight="1">
      <c r="A3066" s="101">
        <v>4013.0</v>
      </c>
      <c r="B3066" s="98" t="s">
        <v>98</v>
      </c>
      <c r="C3066" s="39"/>
      <c r="D3066" s="22">
        <v>10000.0</v>
      </c>
      <c r="E3066" s="25">
        <f t="shared" ref="E3066:E3080" si="521">E3065+1</f>
        <v>2</v>
      </c>
    </row>
    <row r="3067" ht="15.75" customHeight="1">
      <c r="A3067" s="101">
        <v>4040.0</v>
      </c>
      <c r="B3067" s="98" t="s">
        <v>24</v>
      </c>
      <c r="C3067" s="39"/>
      <c r="D3067" s="22">
        <v>0.0</v>
      </c>
      <c r="E3067" s="25">
        <f t="shared" si="521"/>
        <v>3</v>
      </c>
    </row>
    <row r="3068" ht="15.75" customHeight="1">
      <c r="A3068" s="101">
        <v>4042.0</v>
      </c>
      <c r="B3068" s="100" t="s">
        <v>67</v>
      </c>
      <c r="C3068" s="39"/>
      <c r="D3068" s="22">
        <v>1000.0</v>
      </c>
      <c r="E3068" s="25">
        <f t="shared" si="521"/>
        <v>4</v>
      </c>
    </row>
    <row r="3069" ht="15.75" customHeight="1">
      <c r="A3069" s="99">
        <v>4050.0</v>
      </c>
      <c r="B3069" s="100" t="s">
        <v>42</v>
      </c>
      <c r="C3069" s="39"/>
      <c r="D3069" s="22">
        <f>0.3*D3075</f>
        <v>4680</v>
      </c>
      <c r="E3069" s="25">
        <f t="shared" si="521"/>
        <v>5</v>
      </c>
    </row>
    <row r="3070" ht="15.75" customHeight="1">
      <c r="A3070" s="99">
        <v>4060.0</v>
      </c>
      <c r="B3070" s="100" t="s">
        <v>27</v>
      </c>
      <c r="C3070" s="39"/>
      <c r="D3070" s="22">
        <f>1*550+1*80+6*200+40*200</f>
        <v>9830</v>
      </c>
      <c r="E3070" s="25">
        <f t="shared" si="521"/>
        <v>6</v>
      </c>
    </row>
    <row r="3071" ht="15.75" customHeight="1">
      <c r="A3071" s="101">
        <v>4063.0</v>
      </c>
      <c r="B3071" s="98" t="s">
        <v>70</v>
      </c>
      <c r="C3071" s="39"/>
      <c r="D3071" s="29">
        <v>6000.0</v>
      </c>
      <c r="E3071" s="25">
        <f t="shared" si="521"/>
        <v>7</v>
      </c>
    </row>
    <row r="3072" ht="15.75" customHeight="1">
      <c r="A3072" s="101">
        <v>4076.0</v>
      </c>
      <c r="B3072" s="98" t="s">
        <v>29</v>
      </c>
      <c r="C3072" s="39"/>
      <c r="D3072" s="29">
        <v>5000.0</v>
      </c>
      <c r="E3072" s="25">
        <f t="shared" si="521"/>
        <v>8</v>
      </c>
    </row>
    <row r="3073" ht="15.75" customHeight="1">
      <c r="A3073" s="101">
        <v>4080.0</v>
      </c>
      <c r="B3073" s="98" t="s">
        <v>31</v>
      </c>
      <c r="C3073" s="39"/>
      <c r="D3073" s="22">
        <v>1000.0</v>
      </c>
      <c r="E3073" s="25">
        <f t="shared" si="521"/>
        <v>9</v>
      </c>
    </row>
    <row r="3074" ht="15.75" customHeight="1">
      <c r="A3074" s="101">
        <v>4082.0</v>
      </c>
      <c r="B3074" s="98" t="s">
        <v>45</v>
      </c>
      <c r="C3074" s="39"/>
      <c r="D3074" s="22">
        <f>(1+1+5)*200</f>
        <v>1400</v>
      </c>
      <c r="E3074" s="25">
        <f t="shared" si="521"/>
        <v>10</v>
      </c>
    </row>
    <row r="3075" ht="15.75" customHeight="1">
      <c r="A3075" s="101">
        <v>4190.0</v>
      </c>
      <c r="B3075" s="98" t="s">
        <v>32</v>
      </c>
      <c r="C3075" s="39"/>
      <c r="D3075" s="22">
        <f>1*600+(1+5)*500+40*300</f>
        <v>15600</v>
      </c>
      <c r="E3075" s="25">
        <f t="shared" si="521"/>
        <v>11</v>
      </c>
    </row>
    <row r="3076" ht="15.75" customHeight="1">
      <c r="A3076" s="101">
        <v>5050.0</v>
      </c>
      <c r="B3076" s="98" t="s">
        <v>33</v>
      </c>
      <c r="C3076" s="39"/>
      <c r="D3076" s="22">
        <v>1500.0</v>
      </c>
      <c r="E3076" s="25">
        <f t="shared" si="521"/>
        <v>12</v>
      </c>
    </row>
    <row r="3077" ht="15.75" customHeight="1">
      <c r="A3077" s="101">
        <v>5420.0</v>
      </c>
      <c r="B3077" s="98" t="s">
        <v>134</v>
      </c>
      <c r="C3077" s="39"/>
      <c r="D3077" s="29">
        <v>2100.0</v>
      </c>
      <c r="E3077" s="25">
        <f t="shared" si="521"/>
        <v>13</v>
      </c>
    </row>
    <row r="3078" ht="15.75" customHeight="1">
      <c r="A3078" s="101">
        <v>5461.0</v>
      </c>
      <c r="B3078" s="98" t="s">
        <v>84</v>
      </c>
      <c r="C3078" s="39"/>
      <c r="D3078" s="29">
        <v>1500.0</v>
      </c>
      <c r="E3078" s="25">
        <f t="shared" si="521"/>
        <v>14</v>
      </c>
    </row>
    <row r="3079" ht="15.75" customHeight="1">
      <c r="A3079" s="101">
        <v>5810.0</v>
      </c>
      <c r="B3079" s="98" t="s">
        <v>34</v>
      </c>
      <c r="C3079" s="39"/>
      <c r="D3079" s="22">
        <v>0.0</v>
      </c>
      <c r="E3079" s="25">
        <f t="shared" si="521"/>
        <v>15</v>
      </c>
    </row>
    <row r="3080" ht="15.75" customHeight="1">
      <c r="A3080" s="101">
        <v>6800.0</v>
      </c>
      <c r="B3080" s="102" t="s">
        <v>114</v>
      </c>
      <c r="C3080" s="39"/>
      <c r="D3080" s="22">
        <v>0.0</v>
      </c>
      <c r="E3080" s="25">
        <f t="shared" si="521"/>
        <v>16</v>
      </c>
    </row>
    <row r="3081" ht="15.75" customHeight="1">
      <c r="A3081" s="101"/>
      <c r="B3081" s="136" t="s">
        <v>19</v>
      </c>
      <c r="C3081" s="31">
        <f t="shared" ref="C3081:D3081" si="522">SUM(C3065:C3080)</f>
        <v>0</v>
      </c>
      <c r="D3081" s="32">
        <f t="shared" si="522"/>
        <v>59610</v>
      </c>
      <c r="E3081" s="25"/>
    </row>
    <row r="3082" ht="15.75" customHeight="1">
      <c r="A3082" s="101"/>
      <c r="B3082" s="136" t="s">
        <v>20</v>
      </c>
      <c r="C3082" s="53"/>
      <c r="D3082" s="32">
        <f>C3081-D3081</f>
        <v>-59610</v>
      </c>
      <c r="E3082" s="40"/>
    </row>
    <row r="3083" ht="15.75" customHeight="1">
      <c r="A3083" s="289">
        <v>262301.0</v>
      </c>
      <c r="B3083" s="176" t="s">
        <v>550</v>
      </c>
      <c r="C3083" s="204"/>
      <c r="D3083" s="205"/>
      <c r="E3083" s="398"/>
    </row>
    <row r="3084" ht="15.75" customHeight="1">
      <c r="A3084" s="101">
        <v>3010.0</v>
      </c>
      <c r="B3084" s="102" t="s">
        <v>2</v>
      </c>
      <c r="C3084" s="39">
        <f>2*10000+10000*17+10000*2</f>
        <v>210000</v>
      </c>
      <c r="D3084" s="22"/>
      <c r="E3084" s="25">
        <f>E3080+1</f>
        <v>17</v>
      </c>
    </row>
    <row r="3085" ht="15.75" customHeight="1">
      <c r="A3085" s="101">
        <v>3011.0</v>
      </c>
      <c r="B3085" s="102" t="s">
        <v>22</v>
      </c>
      <c r="C3085" s="39">
        <f>7000+20000</f>
        <v>27000</v>
      </c>
      <c r="D3085" s="22"/>
      <c r="E3085" s="25">
        <f t="shared" ref="E3085:E3089" si="523">E3084+1</f>
        <v>18</v>
      </c>
    </row>
    <row r="3086" ht="15.75" customHeight="1">
      <c r="A3086" s="101">
        <v>3076.0</v>
      </c>
      <c r="B3086" s="102" t="s">
        <v>281</v>
      </c>
      <c r="C3086" s="68">
        <v>12000.0</v>
      </c>
      <c r="D3086" s="22"/>
      <c r="E3086" s="25">
        <f t="shared" si="523"/>
        <v>19</v>
      </c>
    </row>
    <row r="3087" ht="15.75" customHeight="1">
      <c r="A3087" s="163">
        <v>4063.0</v>
      </c>
      <c r="B3087" s="98" t="s">
        <v>70</v>
      </c>
      <c r="C3087" s="39"/>
      <c r="D3087" s="29">
        <v>2000.0</v>
      </c>
      <c r="E3087" s="25">
        <f t="shared" si="523"/>
        <v>20</v>
      </c>
    </row>
    <row r="3088" ht="15.75" customHeight="1">
      <c r="A3088" s="101">
        <v>4010.0</v>
      </c>
      <c r="B3088" s="102" t="s">
        <v>48</v>
      </c>
      <c r="C3088" s="39"/>
      <c r="D3088" s="22">
        <v>6250.0</v>
      </c>
      <c r="E3088" s="25">
        <f t="shared" si="523"/>
        <v>21</v>
      </c>
    </row>
    <row r="3089" ht="15.75" customHeight="1">
      <c r="A3089" s="101">
        <v>4076.0</v>
      </c>
      <c r="B3089" s="102" t="s">
        <v>29</v>
      </c>
      <c r="C3089" s="39"/>
      <c r="D3089" s="22">
        <f>C3086</f>
        <v>12000</v>
      </c>
      <c r="E3089" s="25">
        <f t="shared" si="523"/>
        <v>22</v>
      </c>
    </row>
    <row r="3090" ht="15.75" customHeight="1">
      <c r="A3090" s="101"/>
      <c r="B3090" s="136" t="s">
        <v>19</v>
      </c>
      <c r="C3090" s="31">
        <f t="shared" ref="C3090:D3090" si="524">SUM(C3084:C3089)</f>
        <v>249000</v>
      </c>
      <c r="D3090" s="32">
        <f t="shared" si="524"/>
        <v>20250</v>
      </c>
      <c r="E3090" s="25"/>
    </row>
    <row r="3091" ht="15.75" customHeight="1">
      <c r="A3091" s="101"/>
      <c r="B3091" s="136" t="s">
        <v>20</v>
      </c>
      <c r="C3091" s="53"/>
      <c r="D3091" s="32">
        <f>C3090-D3090</f>
        <v>228750</v>
      </c>
      <c r="E3091" s="40"/>
    </row>
    <row r="3092" ht="15.75" customHeight="1">
      <c r="A3092" s="289">
        <v>262302.0</v>
      </c>
      <c r="B3092" s="176" t="s">
        <v>551</v>
      </c>
      <c r="C3092" s="204"/>
      <c r="D3092" s="205"/>
      <c r="E3092" s="398"/>
    </row>
    <row r="3093" ht="15.75" customHeight="1">
      <c r="A3093" s="101">
        <v>3010.0</v>
      </c>
      <c r="B3093" s="102" t="s">
        <v>2</v>
      </c>
      <c r="C3093" s="39">
        <v>0.0</v>
      </c>
      <c r="D3093" s="22"/>
      <c r="E3093" s="25">
        <f>E3089+1</f>
        <v>23</v>
      </c>
    </row>
    <row r="3094" ht="15.75" customHeight="1">
      <c r="A3094" s="101">
        <v>3011.0</v>
      </c>
      <c r="B3094" s="102" t="s">
        <v>22</v>
      </c>
      <c r="C3094" s="68">
        <v>0.0</v>
      </c>
      <c r="D3094" s="22"/>
      <c r="E3094" s="25">
        <f t="shared" ref="E3094:E3096" si="525">E3093+1</f>
        <v>24</v>
      </c>
    </row>
    <row r="3095" ht="15.75" customHeight="1">
      <c r="A3095" s="101">
        <v>4010.0</v>
      </c>
      <c r="B3095" s="102" t="s">
        <v>48</v>
      </c>
      <c r="C3095" s="39"/>
      <c r="D3095" s="29">
        <v>57500.0</v>
      </c>
      <c r="E3095" s="25">
        <f t="shared" si="525"/>
        <v>25</v>
      </c>
    </row>
    <row r="3096" ht="15.75" customHeight="1">
      <c r="A3096" s="101">
        <v>4047.0</v>
      </c>
      <c r="B3096" s="102" t="s">
        <v>14</v>
      </c>
      <c r="C3096" s="39"/>
      <c r="D3096" s="29">
        <v>40000.0</v>
      </c>
      <c r="E3096" s="25">
        <f t="shared" si="525"/>
        <v>26</v>
      </c>
    </row>
    <row r="3097" ht="15.75" customHeight="1">
      <c r="A3097" s="101">
        <v>5810.0</v>
      </c>
      <c r="B3097" s="102" t="s">
        <v>34</v>
      </c>
      <c r="C3097" s="39"/>
      <c r="D3097" s="29">
        <v>65000.0</v>
      </c>
      <c r="E3097" s="25">
        <f>1+E3096</f>
        <v>27</v>
      </c>
    </row>
    <row r="3098" ht="15.75" customHeight="1">
      <c r="A3098" s="101"/>
      <c r="B3098" s="136" t="s">
        <v>19</v>
      </c>
      <c r="C3098" s="31">
        <f t="shared" ref="C3098:D3098" si="526">SUM(C3093:C3097)</f>
        <v>0</v>
      </c>
      <c r="D3098" s="32">
        <f t="shared" si="526"/>
        <v>162500</v>
      </c>
      <c r="E3098" s="25"/>
    </row>
    <row r="3099" ht="15.75" customHeight="1">
      <c r="A3099" s="101"/>
      <c r="B3099" s="136" t="s">
        <v>20</v>
      </c>
      <c r="C3099" s="53"/>
      <c r="D3099" s="32">
        <f>C3098-D3098</f>
        <v>-162500</v>
      </c>
      <c r="E3099" s="40"/>
    </row>
    <row r="3100" ht="15.75" customHeight="1">
      <c r="A3100" s="202"/>
      <c r="B3100" s="176" t="s">
        <v>552</v>
      </c>
      <c r="C3100" s="204">
        <f t="shared" ref="C3100:D3100" si="527">C3081+C3090+C3098</f>
        <v>249000</v>
      </c>
      <c r="D3100" s="205">
        <f t="shared" si="527"/>
        <v>242360</v>
      </c>
      <c r="E3100" s="86"/>
    </row>
    <row r="3101" ht="15.75" customHeight="1">
      <c r="A3101" s="202"/>
      <c r="B3101" s="176" t="s">
        <v>553</v>
      </c>
      <c r="C3101" s="84"/>
      <c r="D3101" s="205">
        <f>C3100-D3100</f>
        <v>6640</v>
      </c>
      <c r="E3101" s="86"/>
    </row>
    <row r="3102" ht="15.75" customHeight="1">
      <c r="A3102" s="19"/>
      <c r="B3102" s="174"/>
      <c r="C3102" s="381"/>
      <c r="D3102" s="221"/>
      <c r="E3102" s="40"/>
    </row>
    <row r="3103" ht="15.75" customHeight="1">
      <c r="A3103" s="19"/>
      <c r="B3103" s="174"/>
      <c r="C3103" s="381"/>
      <c r="D3103" s="221"/>
      <c r="E3103" s="40"/>
    </row>
    <row r="3104" ht="15.75" customHeight="1">
      <c r="A3104" s="94"/>
      <c r="B3104" s="399" t="s">
        <v>554</v>
      </c>
      <c r="C3104" s="16" t="s">
        <v>6</v>
      </c>
      <c r="D3104" s="5"/>
      <c r="E3104" s="9"/>
    </row>
    <row r="3105" ht="15.75" customHeight="1">
      <c r="A3105" s="289">
        <v>272300.0</v>
      </c>
      <c r="B3105" s="176" t="s">
        <v>555</v>
      </c>
      <c r="C3105" s="204"/>
      <c r="D3105" s="205"/>
      <c r="E3105" s="398"/>
    </row>
    <row r="3106" ht="15.75" customHeight="1">
      <c r="A3106" s="62">
        <v>3010.0</v>
      </c>
      <c r="B3106" s="98" t="s">
        <v>2</v>
      </c>
      <c r="C3106" s="39">
        <f>100000</f>
        <v>100000</v>
      </c>
      <c r="D3106" s="22"/>
      <c r="E3106" s="25">
        <f>E3100+1</f>
        <v>1</v>
      </c>
    </row>
    <row r="3107" ht="15.75" customHeight="1">
      <c r="A3107" s="108">
        <v>4042.0</v>
      </c>
      <c r="B3107" s="127" t="s">
        <v>67</v>
      </c>
      <c r="C3107" s="39"/>
      <c r="D3107" s="22">
        <v>0.0</v>
      </c>
      <c r="E3107" s="25">
        <f t="shared" ref="E3107:E3113" si="528">E3106+1</f>
        <v>2</v>
      </c>
    </row>
    <row r="3108" ht="15.75" customHeight="1">
      <c r="A3108" s="62">
        <v>4047.0</v>
      </c>
      <c r="B3108" s="98" t="s">
        <v>14</v>
      </c>
      <c r="C3108" s="39"/>
      <c r="D3108" s="22">
        <f>C3106</f>
        <v>100000</v>
      </c>
      <c r="E3108" s="25">
        <f t="shared" si="528"/>
        <v>3</v>
      </c>
    </row>
    <row r="3109" ht="15.75" customHeight="1">
      <c r="A3109" s="62">
        <v>4050.0</v>
      </c>
      <c r="B3109" s="98" t="s">
        <v>42</v>
      </c>
      <c r="C3109" s="39"/>
      <c r="D3109" s="22">
        <f>sumif($A$3106:$A$3140,"=4190",D3106:D3155)*0.3</f>
        <v>1980</v>
      </c>
      <c r="E3109" s="25">
        <f t="shared" si="528"/>
        <v>4</v>
      </c>
    </row>
    <row r="3110" ht="15.75" customHeight="1">
      <c r="A3110" s="62">
        <v>4060.0</v>
      </c>
      <c r="B3110" s="98" t="s">
        <v>27</v>
      </c>
      <c r="C3110" s="39"/>
      <c r="D3110" s="22">
        <f>(550+80)*6</f>
        <v>3780</v>
      </c>
      <c r="E3110" s="25">
        <f t="shared" si="528"/>
        <v>5</v>
      </c>
    </row>
    <row r="3111" ht="15.75" customHeight="1">
      <c r="A3111" s="62">
        <v>4080.0</v>
      </c>
      <c r="B3111" s="98" t="s">
        <v>31</v>
      </c>
      <c r="C3111" s="39"/>
      <c r="D3111" s="22">
        <v>1000.0</v>
      </c>
      <c r="E3111" s="25">
        <f t="shared" si="528"/>
        <v>6</v>
      </c>
    </row>
    <row r="3112" ht="15.75" customHeight="1">
      <c r="A3112" s="62">
        <v>4082.0</v>
      </c>
      <c r="B3112" s="102" t="s">
        <v>45</v>
      </c>
      <c r="C3112" s="39"/>
      <c r="D3112" s="22">
        <f>300+5*200</f>
        <v>1300</v>
      </c>
      <c r="E3112" s="25">
        <f t="shared" si="528"/>
        <v>7</v>
      </c>
    </row>
    <row r="3113" ht="15.75" customHeight="1">
      <c r="A3113" s="62">
        <v>4190.0</v>
      </c>
      <c r="B3113" s="98" t="s">
        <v>32</v>
      </c>
      <c r="C3113" s="39"/>
      <c r="D3113" s="22">
        <f>600+5*500</f>
        <v>3100</v>
      </c>
      <c r="E3113" s="25">
        <f t="shared" si="528"/>
        <v>8</v>
      </c>
    </row>
    <row r="3114" ht="15.75" customHeight="1">
      <c r="A3114" s="62"/>
      <c r="B3114" s="106" t="s">
        <v>19</v>
      </c>
      <c r="C3114" s="31">
        <f t="shared" ref="C3114:D3114" si="529">sum(C3106:C3113)</f>
        <v>100000</v>
      </c>
      <c r="D3114" s="32">
        <f t="shared" si="529"/>
        <v>111160</v>
      </c>
      <c r="E3114" s="25"/>
    </row>
    <row r="3115" ht="15.75" customHeight="1">
      <c r="A3115" s="62"/>
      <c r="B3115" s="136" t="s">
        <v>20</v>
      </c>
      <c r="C3115" s="31"/>
      <c r="D3115" s="32">
        <f>C3114-D3114</f>
        <v>-11160</v>
      </c>
      <c r="E3115" s="25"/>
    </row>
    <row r="3116" ht="15.75" customHeight="1">
      <c r="A3116" s="289">
        <v>272301.0</v>
      </c>
      <c r="B3116" s="176" t="s">
        <v>556</v>
      </c>
      <c r="C3116" s="204"/>
      <c r="D3116" s="205"/>
      <c r="E3116" s="398"/>
    </row>
    <row r="3117" ht="15.75" hidden="1" customHeight="1">
      <c r="A3117" s="123">
        <v>4040.0</v>
      </c>
      <c r="B3117" s="100" t="s">
        <v>24</v>
      </c>
      <c r="C3117" s="39"/>
      <c r="D3117" s="29">
        <v>0.0</v>
      </c>
      <c r="E3117" s="40">
        <f>E3113+1</f>
        <v>9</v>
      </c>
    </row>
    <row r="3118" ht="15.75" hidden="1" customHeight="1">
      <c r="A3118" s="123">
        <v>4047.0</v>
      </c>
      <c r="B3118" s="100" t="s">
        <v>14</v>
      </c>
      <c r="C3118" s="39"/>
      <c r="D3118" s="22">
        <v>0.0</v>
      </c>
      <c r="E3118" s="40">
        <f t="shared" ref="E3118:E3122" si="530">E3117+1</f>
        <v>10</v>
      </c>
    </row>
    <row r="3119" ht="15.75" hidden="1" customHeight="1">
      <c r="A3119" s="123">
        <v>4060.0</v>
      </c>
      <c r="B3119" s="100" t="s">
        <v>27</v>
      </c>
      <c r="C3119" s="39"/>
      <c r="D3119" s="29">
        <v>0.0</v>
      </c>
      <c r="E3119" s="40">
        <f t="shared" si="530"/>
        <v>11</v>
      </c>
    </row>
    <row r="3120" ht="15.75" hidden="1" customHeight="1">
      <c r="A3120" s="123">
        <v>4076.0</v>
      </c>
      <c r="B3120" s="100" t="s">
        <v>29</v>
      </c>
      <c r="C3120" s="39"/>
      <c r="D3120" s="22">
        <v>0.0</v>
      </c>
      <c r="E3120" s="40">
        <f t="shared" si="530"/>
        <v>12</v>
      </c>
    </row>
    <row r="3121" ht="15.75" hidden="1" customHeight="1">
      <c r="A3121" s="123">
        <v>4082.0</v>
      </c>
      <c r="B3121" s="100" t="s">
        <v>45</v>
      </c>
      <c r="C3121" s="39"/>
      <c r="D3121" s="29">
        <v>0.0</v>
      </c>
      <c r="E3121" s="40">
        <f t="shared" si="530"/>
        <v>13</v>
      </c>
    </row>
    <row r="3122" ht="15.75" hidden="1" customHeight="1">
      <c r="A3122" s="123">
        <v>4190.0</v>
      </c>
      <c r="B3122" s="100" t="s">
        <v>32</v>
      </c>
      <c r="C3122" s="39"/>
      <c r="D3122" s="29">
        <v>0.0</v>
      </c>
      <c r="E3122" s="25">
        <f t="shared" si="530"/>
        <v>14</v>
      </c>
    </row>
    <row r="3123" ht="15.75" hidden="1" customHeight="1">
      <c r="A3123" s="123"/>
      <c r="B3123" s="106" t="s">
        <v>19</v>
      </c>
      <c r="C3123" s="31">
        <f t="shared" ref="C3123:D3123" si="531">SUM(C3117:C3122)</f>
        <v>0</v>
      </c>
      <c r="D3123" s="32">
        <f t="shared" si="531"/>
        <v>0</v>
      </c>
      <c r="E3123" s="40"/>
    </row>
    <row r="3124" ht="15.75" hidden="1" customHeight="1">
      <c r="A3124" s="101"/>
      <c r="B3124" s="106" t="s">
        <v>20</v>
      </c>
      <c r="C3124" s="39"/>
      <c r="D3124" s="32">
        <f>C3123-D3123</f>
        <v>0</v>
      </c>
      <c r="E3124" s="40"/>
    </row>
    <row r="3125" ht="15.75" customHeight="1">
      <c r="A3125" s="289">
        <v>272302.0</v>
      </c>
      <c r="B3125" s="355" t="s">
        <v>557</v>
      </c>
      <c r="C3125" s="204"/>
      <c r="D3125" s="205"/>
      <c r="E3125" s="398"/>
    </row>
    <row r="3126" ht="15.75" customHeight="1">
      <c r="A3126" s="108">
        <v>3011.0</v>
      </c>
      <c r="B3126" s="127" t="s">
        <v>353</v>
      </c>
      <c r="C3126" s="26">
        <f>25*80</f>
        <v>2000</v>
      </c>
      <c r="D3126" s="22"/>
      <c r="E3126" s="25">
        <f>E3122+1</f>
        <v>15</v>
      </c>
    </row>
    <row r="3127" ht="15.75" customHeight="1">
      <c r="A3127" s="62">
        <v>3110.0</v>
      </c>
      <c r="B3127" s="98" t="s">
        <v>111</v>
      </c>
      <c r="C3127" s="26">
        <v>200000.0</v>
      </c>
      <c r="D3127" s="22"/>
      <c r="E3127" s="25">
        <f t="shared" ref="E3127:E3134" si="532">E3126+1</f>
        <v>16</v>
      </c>
    </row>
    <row r="3128" ht="15.75" customHeight="1">
      <c r="A3128" s="27">
        <v>3120.0</v>
      </c>
      <c r="B3128" s="400" t="s">
        <v>8</v>
      </c>
      <c r="C3128" s="26">
        <v>0.0</v>
      </c>
      <c r="D3128" s="22"/>
      <c r="E3128" s="25">
        <f t="shared" si="532"/>
        <v>17</v>
      </c>
    </row>
    <row r="3129" ht="15.75" customHeight="1">
      <c r="A3129" s="27">
        <v>4010.0</v>
      </c>
      <c r="B3129" s="400" t="s">
        <v>48</v>
      </c>
      <c r="C3129" s="39"/>
      <c r="D3129" s="29">
        <f>130*27.5</f>
        <v>3575</v>
      </c>
      <c r="E3129" s="25">
        <f t="shared" si="532"/>
        <v>18</v>
      </c>
    </row>
    <row r="3130" ht="15.75" customHeight="1">
      <c r="A3130" s="19">
        <v>4013.0</v>
      </c>
      <c r="B3130" s="151" t="s">
        <v>98</v>
      </c>
      <c r="C3130" s="39"/>
      <c r="D3130" s="22">
        <f>11*100</f>
        <v>1100</v>
      </c>
      <c r="E3130" s="25">
        <f t="shared" si="532"/>
        <v>19</v>
      </c>
    </row>
    <row r="3131" ht="15.75" customHeight="1">
      <c r="A3131" s="62">
        <v>4040.0</v>
      </c>
      <c r="B3131" s="98" t="s">
        <v>24</v>
      </c>
      <c r="C3131" s="39"/>
      <c r="D3131" s="22">
        <f>150*14</f>
        <v>2100</v>
      </c>
      <c r="E3131" s="25">
        <f t="shared" si="532"/>
        <v>20</v>
      </c>
    </row>
    <row r="3132" ht="15.75" customHeight="1">
      <c r="A3132" s="62">
        <v>4047.0</v>
      </c>
      <c r="B3132" s="98" t="s">
        <v>14</v>
      </c>
      <c r="C3132" s="39"/>
      <c r="D3132" s="22">
        <v>14550.0</v>
      </c>
      <c r="E3132" s="25">
        <f t="shared" si="532"/>
        <v>21</v>
      </c>
    </row>
    <row r="3133" ht="15.75" customHeight="1">
      <c r="A3133" s="62">
        <v>4060.0</v>
      </c>
      <c r="B3133" s="98" t="s">
        <v>27</v>
      </c>
      <c r="C3133" s="39"/>
      <c r="D3133" s="22">
        <f>(550+80)+200*10</f>
        <v>2630</v>
      </c>
      <c r="E3133" s="25">
        <f t="shared" si="532"/>
        <v>22</v>
      </c>
    </row>
    <row r="3134" ht="15.75" customHeight="1">
      <c r="A3134" s="62">
        <v>4063.0</v>
      </c>
      <c r="B3134" s="98" t="s">
        <v>70</v>
      </c>
      <c r="C3134" s="39"/>
      <c r="D3134" s="29">
        <v>0.0</v>
      </c>
      <c r="E3134" s="25">
        <f t="shared" si="532"/>
        <v>23</v>
      </c>
    </row>
    <row r="3135" ht="15.75" customHeight="1">
      <c r="A3135" s="62">
        <v>4076.0</v>
      </c>
      <c r="B3135" s="98" t="s">
        <v>29</v>
      </c>
      <c r="C3135" s="39"/>
      <c r="D3135" s="401">
        <f>15000+1200+4800</f>
        <v>21000</v>
      </c>
      <c r="E3135" s="402">
        <v>24.0</v>
      </c>
    </row>
    <row r="3136" ht="15.75" customHeight="1">
      <c r="A3136" s="62">
        <v>4082.0</v>
      </c>
      <c r="B3136" s="98" t="s">
        <v>45</v>
      </c>
      <c r="C3136" s="39"/>
      <c r="D3136" s="22">
        <v>1200.0</v>
      </c>
      <c r="E3136" s="25">
        <f t="shared" ref="E3136:E3138" si="533">E3135+1</f>
        <v>25</v>
      </c>
    </row>
    <row r="3137" ht="15.75" customHeight="1">
      <c r="A3137" s="62">
        <v>4190.0</v>
      </c>
      <c r="B3137" s="98" t="s">
        <v>32</v>
      </c>
      <c r="C3137" s="39"/>
      <c r="D3137" s="22">
        <f>500+10*300</f>
        <v>3500</v>
      </c>
      <c r="E3137" s="25">
        <f t="shared" si="533"/>
        <v>26</v>
      </c>
    </row>
    <row r="3138" ht="15.75" customHeight="1">
      <c r="A3138" s="108">
        <v>6993.0</v>
      </c>
      <c r="B3138" s="403" t="s">
        <v>115</v>
      </c>
      <c r="C3138" s="284"/>
      <c r="D3138" s="57">
        <f>25*6.25</f>
        <v>156.25</v>
      </c>
      <c r="E3138" s="25">
        <f t="shared" si="533"/>
        <v>27</v>
      </c>
    </row>
    <row r="3139" ht="15.75" customHeight="1">
      <c r="A3139" s="62"/>
      <c r="B3139" s="135" t="s">
        <v>19</v>
      </c>
      <c r="C3139" s="199">
        <f t="shared" ref="C3139:D3139" si="534">sum(C3126:C3138)</f>
        <v>202000</v>
      </c>
      <c r="D3139" s="200">
        <f t="shared" si="534"/>
        <v>49811.25</v>
      </c>
      <c r="E3139" s="197"/>
    </row>
    <row r="3140" ht="15.75" customHeight="1">
      <c r="A3140" s="62"/>
      <c r="B3140" s="135" t="s">
        <v>20</v>
      </c>
      <c r="C3140" s="156"/>
      <c r="D3140" s="200">
        <f>C3139-D3139</f>
        <v>152188.75</v>
      </c>
      <c r="E3140" s="197"/>
    </row>
    <row r="3141" ht="15.75" customHeight="1">
      <c r="A3141" s="289">
        <v>272303.0</v>
      </c>
      <c r="B3141" s="355" t="s">
        <v>558</v>
      </c>
      <c r="C3141" s="204"/>
      <c r="D3141" s="205"/>
      <c r="E3141" s="398"/>
    </row>
    <row r="3142" ht="15.75" customHeight="1">
      <c r="A3142" s="108">
        <v>3011.0</v>
      </c>
      <c r="B3142" s="127" t="s">
        <v>353</v>
      </c>
      <c r="C3142" s="21">
        <f>70*100</f>
        <v>7000</v>
      </c>
      <c r="D3142" s="22"/>
      <c r="E3142" s="25">
        <f>E3138+1</f>
        <v>28</v>
      </c>
    </row>
    <row r="3143" ht="15.75" customHeight="1">
      <c r="A3143" s="108">
        <v>3110.0</v>
      </c>
      <c r="B3143" s="127" t="s">
        <v>111</v>
      </c>
      <c r="C3143" s="21">
        <v>0.0</v>
      </c>
      <c r="D3143" s="22"/>
      <c r="E3143" s="25">
        <f t="shared" ref="E3143:E3153" si="535">E3142+1</f>
        <v>29</v>
      </c>
    </row>
    <row r="3144" ht="15.75" hidden="1" customHeight="1">
      <c r="A3144" s="27">
        <v>3014.0</v>
      </c>
      <c r="B3144" s="400" t="s">
        <v>559</v>
      </c>
      <c r="C3144" s="21">
        <v>0.0</v>
      </c>
      <c r="D3144" s="22"/>
      <c r="E3144" s="25">
        <f t="shared" si="535"/>
        <v>30</v>
      </c>
    </row>
    <row r="3145" ht="15.75" hidden="1" customHeight="1">
      <c r="A3145" s="27">
        <v>3015.0</v>
      </c>
      <c r="B3145" s="400" t="s">
        <v>76</v>
      </c>
      <c r="C3145" s="21">
        <v>0.0</v>
      </c>
      <c r="D3145" s="22"/>
      <c r="E3145" s="25">
        <f t="shared" si="535"/>
        <v>31</v>
      </c>
    </row>
    <row r="3146" ht="15.75" customHeight="1">
      <c r="A3146" s="108">
        <v>4010.0</v>
      </c>
      <c r="B3146" s="404" t="s">
        <v>48</v>
      </c>
      <c r="C3146" s="39"/>
      <c r="D3146" s="22">
        <v>2000.0</v>
      </c>
      <c r="E3146" s="25">
        <f t="shared" si="535"/>
        <v>32</v>
      </c>
    </row>
    <row r="3147" ht="15.75" customHeight="1">
      <c r="A3147" s="108">
        <v>4060.0</v>
      </c>
      <c r="B3147" s="404" t="s">
        <v>27</v>
      </c>
      <c r="C3147" s="39"/>
      <c r="D3147" s="29">
        <v>200.0</v>
      </c>
      <c r="E3147" s="25">
        <f t="shared" si="535"/>
        <v>33</v>
      </c>
    </row>
    <row r="3148" ht="15.75" customHeight="1">
      <c r="A3148" s="62">
        <v>4076.0</v>
      </c>
      <c r="B3148" s="98" t="s">
        <v>29</v>
      </c>
      <c r="C3148" s="39"/>
      <c r="D3148" s="29">
        <v>100000.0</v>
      </c>
      <c r="E3148" s="25">
        <f t="shared" si="535"/>
        <v>34</v>
      </c>
    </row>
    <row r="3149" ht="15.75" customHeight="1">
      <c r="A3149" s="108">
        <v>4082.0</v>
      </c>
      <c r="B3149" s="127" t="s">
        <v>560</v>
      </c>
      <c r="C3149" s="39"/>
      <c r="D3149" s="22">
        <v>100.0</v>
      </c>
      <c r="E3149" s="25">
        <f t="shared" si="535"/>
        <v>35</v>
      </c>
    </row>
    <row r="3150" ht="15.75" customHeight="1">
      <c r="A3150" s="108">
        <v>4190.0</v>
      </c>
      <c r="B3150" s="127" t="s">
        <v>561</v>
      </c>
      <c r="C3150" s="39"/>
      <c r="D3150" s="22">
        <v>500.0</v>
      </c>
      <c r="E3150" s="25">
        <f t="shared" si="535"/>
        <v>36</v>
      </c>
    </row>
    <row r="3151" ht="15.75" customHeight="1">
      <c r="A3151" s="62">
        <v>6071.0</v>
      </c>
      <c r="B3151" s="98" t="s">
        <v>36</v>
      </c>
      <c r="C3151" s="39"/>
      <c r="D3151" s="22">
        <v>0.0</v>
      </c>
      <c r="E3151" s="25">
        <f t="shared" si="535"/>
        <v>37</v>
      </c>
    </row>
    <row r="3152" ht="15.75" hidden="1" customHeight="1">
      <c r="A3152" s="108">
        <v>6991.0</v>
      </c>
      <c r="B3152" s="127" t="s">
        <v>76</v>
      </c>
      <c r="C3152" s="39"/>
      <c r="D3152" s="22">
        <v>0.0</v>
      </c>
      <c r="E3152" s="25">
        <f t="shared" si="535"/>
        <v>38</v>
      </c>
    </row>
    <row r="3153" ht="15.75" customHeight="1">
      <c r="A3153" s="108">
        <v>6993.0</v>
      </c>
      <c r="B3153" s="127" t="s">
        <v>562</v>
      </c>
      <c r="C3153" s="39"/>
      <c r="D3153" s="22">
        <v>0.0</v>
      </c>
      <c r="E3153" s="25">
        <f t="shared" si="535"/>
        <v>39</v>
      </c>
    </row>
    <row r="3154" ht="15.75" customHeight="1">
      <c r="A3154" s="62"/>
      <c r="B3154" s="135" t="s">
        <v>19</v>
      </c>
      <c r="C3154" s="31">
        <f>sum(C3142:C3153)</f>
        <v>7000</v>
      </c>
      <c r="D3154" s="32">
        <f>sum(D3143:D3153)</f>
        <v>102800</v>
      </c>
      <c r="E3154" s="25"/>
    </row>
    <row r="3155" ht="15.75" customHeight="1">
      <c r="A3155" s="62"/>
      <c r="B3155" s="135" t="s">
        <v>20</v>
      </c>
      <c r="C3155" s="31"/>
      <c r="D3155" s="32">
        <f>C3154-D3154</f>
        <v>-95800</v>
      </c>
      <c r="E3155" s="25"/>
    </row>
    <row r="3156" ht="15.75" customHeight="1">
      <c r="A3156" s="405">
        <v>272304.0</v>
      </c>
      <c r="B3156" s="46" t="s">
        <v>563</v>
      </c>
      <c r="C3156" s="231"/>
      <c r="D3156" s="85"/>
      <c r="E3156" s="232"/>
    </row>
    <row r="3157" ht="15.75" customHeight="1">
      <c r="A3157" s="19">
        <v>3120.0</v>
      </c>
      <c r="B3157" s="20" t="s">
        <v>8</v>
      </c>
      <c r="C3157" s="156">
        <v>0.0</v>
      </c>
      <c r="D3157" s="196"/>
      <c r="E3157" s="197">
        <f>E3153+1</f>
        <v>40</v>
      </c>
    </row>
    <row r="3158" ht="15.75" customHeight="1">
      <c r="A3158" s="19">
        <v>4040.0</v>
      </c>
      <c r="B3158" s="20" t="s">
        <v>24</v>
      </c>
      <c r="C3158" s="156"/>
      <c r="D3158" s="57">
        <f>150*3</f>
        <v>450</v>
      </c>
      <c r="E3158" s="197">
        <f t="shared" ref="E3158:E3163" si="536">E3157+1</f>
        <v>41</v>
      </c>
    </row>
    <row r="3159" ht="15.75" customHeight="1">
      <c r="A3159" s="19">
        <v>4060.0</v>
      </c>
      <c r="B3159" s="20" t="s">
        <v>27</v>
      </c>
      <c r="C3159" s="156"/>
      <c r="D3159" s="57">
        <f>2*200</f>
        <v>400</v>
      </c>
      <c r="E3159" s="197">
        <f t="shared" si="536"/>
        <v>42</v>
      </c>
    </row>
    <row r="3160" ht="15.75" customHeight="1">
      <c r="A3160" s="19">
        <v>4076.0</v>
      </c>
      <c r="B3160" s="20" t="s">
        <v>29</v>
      </c>
      <c r="C3160" s="156"/>
      <c r="D3160" s="57">
        <f>35*85*3</f>
        <v>8925</v>
      </c>
      <c r="E3160" s="197">
        <f t="shared" si="536"/>
        <v>43</v>
      </c>
    </row>
    <row r="3161" ht="15.75" customHeight="1">
      <c r="A3161" s="19">
        <v>4082.0</v>
      </c>
      <c r="B3161" s="20" t="s">
        <v>45</v>
      </c>
      <c r="C3161" s="156"/>
      <c r="D3161" s="57">
        <f>2*100</f>
        <v>200</v>
      </c>
      <c r="E3161" s="197">
        <f t="shared" si="536"/>
        <v>44</v>
      </c>
    </row>
    <row r="3162" ht="15.75" customHeight="1">
      <c r="A3162" s="19">
        <v>4190.0</v>
      </c>
      <c r="B3162" s="20" t="s">
        <v>32</v>
      </c>
      <c r="C3162" s="156"/>
      <c r="D3162" s="57">
        <v>500.0</v>
      </c>
      <c r="E3162" s="197">
        <f t="shared" si="536"/>
        <v>45</v>
      </c>
    </row>
    <row r="3163" ht="15.75" customHeight="1">
      <c r="A3163" s="66"/>
      <c r="B3163" s="30" t="s">
        <v>19</v>
      </c>
      <c r="C3163" s="199">
        <f t="shared" ref="C3163:D3163" si="537">SUM(C3157:C3162)</f>
        <v>0</v>
      </c>
      <c r="D3163" s="200">
        <f t="shared" si="537"/>
        <v>10475</v>
      </c>
      <c r="E3163" s="197">
        <f t="shared" si="536"/>
        <v>46</v>
      </c>
    </row>
    <row r="3164" ht="15.75" customHeight="1">
      <c r="A3164" s="66"/>
      <c r="B3164" s="30" t="s">
        <v>20</v>
      </c>
      <c r="C3164" s="199"/>
      <c r="D3164" s="200">
        <f>C3163-D3163</f>
        <v>-10475</v>
      </c>
      <c r="E3164" s="197"/>
    </row>
    <row r="3165" ht="15.75" customHeight="1">
      <c r="A3165" s="230">
        <v>272305.0</v>
      </c>
      <c r="B3165" s="46" t="s">
        <v>274</v>
      </c>
      <c r="C3165" s="231"/>
      <c r="D3165" s="85"/>
      <c r="E3165" s="232"/>
    </row>
    <row r="3166" ht="15.75" hidden="1" customHeight="1">
      <c r="A3166" s="19">
        <v>3110.0</v>
      </c>
      <c r="B3166" s="20" t="s">
        <v>54</v>
      </c>
      <c r="C3166" s="156">
        <v>0.0</v>
      </c>
      <c r="D3166" s="200"/>
      <c r="E3166" s="197">
        <f>E3163+1</f>
        <v>47</v>
      </c>
    </row>
    <row r="3167" ht="15.75" hidden="1" customHeight="1">
      <c r="A3167" s="19">
        <v>4040.0</v>
      </c>
      <c r="B3167" s="20" t="s">
        <v>24</v>
      </c>
      <c r="C3167" s="199"/>
      <c r="D3167" s="57">
        <v>0.0</v>
      </c>
      <c r="E3167" s="197">
        <f t="shared" ref="E3167:E3171" si="538">E3166+1</f>
        <v>48</v>
      </c>
    </row>
    <row r="3168" ht="15.75" hidden="1" customHeight="1">
      <c r="A3168" s="19">
        <v>4060.0</v>
      </c>
      <c r="B3168" s="20" t="s">
        <v>27</v>
      </c>
      <c r="C3168" s="199"/>
      <c r="D3168" s="57">
        <v>0.0</v>
      </c>
      <c r="E3168" s="197">
        <f t="shared" si="538"/>
        <v>49</v>
      </c>
    </row>
    <row r="3169" ht="15.75" hidden="1" customHeight="1">
      <c r="A3169" s="19">
        <v>4076.0</v>
      </c>
      <c r="B3169" s="20" t="s">
        <v>29</v>
      </c>
      <c r="C3169" s="199"/>
      <c r="D3169" s="57">
        <v>0.0</v>
      </c>
      <c r="E3169" s="197">
        <f t="shared" si="538"/>
        <v>50</v>
      </c>
    </row>
    <row r="3170" ht="15.75" hidden="1" customHeight="1">
      <c r="A3170" s="19">
        <v>4082.0</v>
      </c>
      <c r="B3170" s="20" t="s">
        <v>275</v>
      </c>
      <c r="C3170" s="199"/>
      <c r="D3170" s="57">
        <v>0.0</v>
      </c>
      <c r="E3170" s="197">
        <f t="shared" si="538"/>
        <v>51</v>
      </c>
    </row>
    <row r="3171" ht="15.75" hidden="1" customHeight="1">
      <c r="A3171" s="19">
        <v>4190.0</v>
      </c>
      <c r="B3171" s="20" t="s">
        <v>32</v>
      </c>
      <c r="C3171" s="199"/>
      <c r="D3171" s="57">
        <v>0.0</v>
      </c>
      <c r="E3171" s="197">
        <f t="shared" si="538"/>
        <v>52</v>
      </c>
    </row>
    <row r="3172" ht="15.75" hidden="1" customHeight="1">
      <c r="A3172" s="66"/>
      <c r="B3172" s="30" t="s">
        <v>19</v>
      </c>
      <c r="C3172" s="199">
        <f t="shared" ref="C3172:D3172" si="539">SUM(C3166:C3171)</f>
        <v>0</v>
      </c>
      <c r="D3172" s="200">
        <f t="shared" si="539"/>
        <v>0</v>
      </c>
      <c r="E3172" s="197"/>
    </row>
    <row r="3173" ht="15.75" hidden="1" customHeight="1">
      <c r="A3173" s="66"/>
      <c r="B3173" s="30" t="s">
        <v>20</v>
      </c>
      <c r="C3173" s="199"/>
      <c r="D3173" s="200">
        <f>C3172-D3172</f>
        <v>0</v>
      </c>
      <c r="E3173" s="197"/>
    </row>
    <row r="3174" ht="15.75" customHeight="1">
      <c r="A3174" s="230">
        <v>272306.0</v>
      </c>
      <c r="B3174" s="18" t="s">
        <v>564</v>
      </c>
      <c r="C3174" s="55"/>
      <c r="D3174" s="36"/>
      <c r="E3174" s="56"/>
    </row>
    <row r="3175" ht="15.75" customHeight="1">
      <c r="A3175" s="406">
        <v>3011.0</v>
      </c>
      <c r="B3175" s="44" t="s">
        <v>565</v>
      </c>
      <c r="C3175" s="156">
        <f>90*100</f>
        <v>9000</v>
      </c>
      <c r="D3175" s="196"/>
      <c r="E3175" s="407">
        <f>E3171+1</f>
        <v>53</v>
      </c>
    </row>
    <row r="3176" ht="15.75" customHeight="1">
      <c r="A3176" s="406">
        <v>4010.0</v>
      </c>
      <c r="B3176" s="44" t="s">
        <v>566</v>
      </c>
      <c r="C3176" s="156"/>
      <c r="D3176" s="57">
        <v>0.0</v>
      </c>
      <c r="E3176" s="407">
        <f t="shared" ref="E3176:E3186" si="540">E3175+1</f>
        <v>54</v>
      </c>
    </row>
    <row r="3177" ht="15.75" customHeight="1">
      <c r="A3177" s="406">
        <v>4013.0</v>
      </c>
      <c r="B3177" s="44" t="s">
        <v>567</v>
      </c>
      <c r="C3177" s="156"/>
      <c r="D3177" s="57">
        <f>14*100+12*40</f>
        <v>1880</v>
      </c>
      <c r="E3177" s="407">
        <f t="shared" si="540"/>
        <v>55</v>
      </c>
    </row>
    <row r="3178" ht="15.75" customHeight="1">
      <c r="A3178" s="406">
        <v>4040.0</v>
      </c>
      <c r="B3178" s="44" t="s">
        <v>24</v>
      </c>
      <c r="C3178" s="156"/>
      <c r="D3178" s="57">
        <v>0.0</v>
      </c>
      <c r="E3178" s="407">
        <f t="shared" si="540"/>
        <v>56</v>
      </c>
    </row>
    <row r="3179" ht="15.75" customHeight="1">
      <c r="A3179" s="406">
        <v>4047.0</v>
      </c>
      <c r="B3179" s="44" t="s">
        <v>271</v>
      </c>
      <c r="C3179" s="156"/>
      <c r="D3179" s="57">
        <v>0.0</v>
      </c>
      <c r="E3179" s="407">
        <f t="shared" si="540"/>
        <v>57</v>
      </c>
    </row>
    <row r="3180" ht="15.75" customHeight="1">
      <c r="A3180" s="406">
        <v>4060.0</v>
      </c>
      <c r="B3180" s="44" t="s">
        <v>27</v>
      </c>
      <c r="C3180" s="156"/>
      <c r="D3180" s="57">
        <f>9*200</f>
        <v>1800</v>
      </c>
      <c r="E3180" s="407">
        <f t="shared" si="540"/>
        <v>58</v>
      </c>
    </row>
    <row r="3181" ht="15.75" customHeight="1">
      <c r="A3181" s="406">
        <v>4063.0</v>
      </c>
      <c r="B3181" s="44" t="s">
        <v>272</v>
      </c>
      <c r="C3181" s="156"/>
      <c r="D3181" s="57">
        <v>0.0</v>
      </c>
      <c r="E3181" s="407">
        <f t="shared" si="540"/>
        <v>59</v>
      </c>
    </row>
    <row r="3182" ht="15.75" customHeight="1">
      <c r="A3182" s="406">
        <v>4076.0</v>
      </c>
      <c r="B3182" s="44" t="s">
        <v>273</v>
      </c>
      <c r="C3182" s="156"/>
      <c r="D3182" s="57">
        <v>0.0</v>
      </c>
      <c r="E3182" s="407">
        <f t="shared" si="540"/>
        <v>60</v>
      </c>
    </row>
    <row r="3183" ht="15.75" customHeight="1">
      <c r="A3183" s="406">
        <v>4078.0</v>
      </c>
      <c r="B3183" s="44" t="s">
        <v>30</v>
      </c>
      <c r="C3183" s="156"/>
      <c r="D3183" s="57">
        <v>0.0</v>
      </c>
      <c r="E3183" s="407">
        <f t="shared" si="540"/>
        <v>61</v>
      </c>
    </row>
    <row r="3184" ht="15.75" customHeight="1">
      <c r="A3184" s="406">
        <v>4082.0</v>
      </c>
      <c r="B3184" s="44" t="s">
        <v>45</v>
      </c>
      <c r="C3184" s="156"/>
      <c r="D3184" s="57">
        <f>9*100</f>
        <v>900</v>
      </c>
      <c r="E3184" s="407">
        <f t="shared" si="540"/>
        <v>62</v>
      </c>
    </row>
    <row r="3185" ht="15.75" customHeight="1">
      <c r="A3185" s="406">
        <v>4190.0</v>
      </c>
      <c r="B3185" s="44" t="s">
        <v>32</v>
      </c>
      <c r="C3185" s="156"/>
      <c r="D3185" s="57">
        <f>300+8*200</f>
        <v>1900</v>
      </c>
      <c r="E3185" s="407">
        <f t="shared" si="540"/>
        <v>63</v>
      </c>
    </row>
    <row r="3186" ht="15.75" customHeight="1">
      <c r="A3186" s="406">
        <v>6993.0</v>
      </c>
      <c r="B3186" s="44" t="s">
        <v>115</v>
      </c>
      <c r="C3186" s="156"/>
      <c r="D3186" s="57">
        <v>900.0</v>
      </c>
      <c r="E3186" s="407">
        <f t="shared" si="540"/>
        <v>64</v>
      </c>
    </row>
    <row r="3187" ht="15.75" customHeight="1">
      <c r="A3187" s="228"/>
      <c r="B3187" s="80" t="s">
        <v>19</v>
      </c>
      <c r="C3187" s="199">
        <f t="shared" ref="C3187:D3187" si="541">sum(C3175:C3186)</f>
        <v>9000</v>
      </c>
      <c r="D3187" s="200">
        <f t="shared" si="541"/>
        <v>7380</v>
      </c>
      <c r="E3187" s="407"/>
    </row>
    <row r="3188" ht="15.75" customHeight="1">
      <c r="A3188" s="228"/>
      <c r="B3188" s="80" t="s">
        <v>20</v>
      </c>
      <c r="C3188" s="199"/>
      <c r="D3188" s="200">
        <f>C3187-D3187</f>
        <v>1620</v>
      </c>
      <c r="E3188" s="407"/>
    </row>
    <row r="3189" ht="15.75" customHeight="1">
      <c r="A3189" s="202"/>
      <c r="B3189" s="176" t="s">
        <v>568</v>
      </c>
      <c r="C3189" s="408">
        <f>C3114+C3123+C3139+C3154+C3163+C3187+C3172</f>
        <v>318000</v>
      </c>
      <c r="D3189" s="205">
        <f>D3114+D3123+D3139+D3154+D3187+D3172+D3163</f>
        <v>281626.25</v>
      </c>
      <c r="E3189" s="86"/>
    </row>
    <row r="3190" ht="15.75" customHeight="1">
      <c r="A3190" s="202"/>
      <c r="B3190" s="176" t="s">
        <v>569</v>
      </c>
      <c r="C3190" s="84"/>
      <c r="D3190" s="205">
        <f>C3189-D3189</f>
        <v>36373.75</v>
      </c>
      <c r="E3190" s="86"/>
    </row>
    <row r="3191" ht="15.75" customHeight="1">
      <c r="A3191" s="19"/>
      <c r="B3191" s="383"/>
      <c r="C3191" s="64"/>
      <c r="D3191" s="65"/>
      <c r="E3191" s="25"/>
    </row>
    <row r="3192" ht="15.75" customHeight="1">
      <c r="A3192" s="19"/>
      <c r="B3192" s="383"/>
      <c r="C3192" s="64"/>
      <c r="D3192" s="65"/>
      <c r="E3192" s="25"/>
    </row>
    <row r="3193" ht="15.75" customHeight="1">
      <c r="A3193" s="409"/>
      <c r="B3193" s="410" t="s">
        <v>570</v>
      </c>
      <c r="C3193" s="364" t="str">
        <f>#REF!</f>
        <v>#REF!</v>
      </c>
      <c r="D3193" s="5"/>
      <c r="E3193" s="9"/>
    </row>
    <row r="3194" ht="15.75" hidden="1" customHeight="1">
      <c r="A3194" s="182">
        <v>302200.0</v>
      </c>
      <c r="B3194" s="411" t="s">
        <v>571</v>
      </c>
      <c r="C3194" s="12" t="s">
        <v>2</v>
      </c>
      <c r="D3194" s="13" t="s">
        <v>3</v>
      </c>
      <c r="E3194" s="14" t="s">
        <v>4</v>
      </c>
    </row>
    <row r="3195" ht="15.75" hidden="1" customHeight="1">
      <c r="A3195" s="412">
        <v>3015.0</v>
      </c>
      <c r="B3195" s="413" t="s">
        <v>88</v>
      </c>
      <c r="C3195" s="39">
        <v>0.0</v>
      </c>
      <c r="D3195" s="22"/>
      <c r="E3195" s="25">
        <v>1.0</v>
      </c>
    </row>
    <row r="3196" ht="15.75" hidden="1" customHeight="1">
      <c r="A3196" s="183">
        <v>4010.0</v>
      </c>
      <c r="B3196" s="184" t="s">
        <v>48</v>
      </c>
      <c r="C3196" s="39"/>
      <c r="D3196" s="29">
        <v>0.0</v>
      </c>
      <c r="E3196" s="25">
        <v>2.0</v>
      </c>
    </row>
    <row r="3197" ht="15.75" hidden="1" customHeight="1">
      <c r="A3197" s="183">
        <v>4040.0</v>
      </c>
      <c r="B3197" s="184" t="s">
        <v>24</v>
      </c>
      <c r="C3197" s="39"/>
      <c r="D3197" s="29">
        <v>0.0</v>
      </c>
      <c r="E3197" s="25">
        <f t="shared" ref="E3197:E3213" si="542">E3196+1</f>
        <v>3</v>
      </c>
    </row>
    <row r="3198" ht="15.75" hidden="1" customHeight="1">
      <c r="A3198" s="183">
        <v>4042.0</v>
      </c>
      <c r="B3198" s="184" t="s">
        <v>67</v>
      </c>
      <c r="C3198" s="39"/>
      <c r="D3198" s="29">
        <v>0.0</v>
      </c>
      <c r="E3198" s="25">
        <f t="shared" si="542"/>
        <v>4</v>
      </c>
    </row>
    <row r="3199" ht="15.75" hidden="1" customHeight="1">
      <c r="A3199" s="183">
        <v>4047.0</v>
      </c>
      <c r="B3199" s="184" t="s">
        <v>14</v>
      </c>
      <c r="C3199" s="39"/>
      <c r="D3199" s="22">
        <v>0.0</v>
      </c>
      <c r="E3199" s="25">
        <f t="shared" si="542"/>
        <v>5</v>
      </c>
    </row>
    <row r="3200" ht="15.75" hidden="1" customHeight="1">
      <c r="A3200" s="412">
        <v>4050.0</v>
      </c>
      <c r="B3200" s="413" t="s">
        <v>572</v>
      </c>
      <c r="C3200" s="39"/>
      <c r="D3200" s="29">
        <v>0.0</v>
      </c>
      <c r="E3200" s="25">
        <f t="shared" si="542"/>
        <v>6</v>
      </c>
    </row>
    <row r="3201" ht="15.75" hidden="1" customHeight="1">
      <c r="A3201" s="183">
        <v>4060.0</v>
      </c>
      <c r="B3201" s="184" t="s">
        <v>27</v>
      </c>
      <c r="C3201" s="39"/>
      <c r="D3201" s="29">
        <v>0.0</v>
      </c>
      <c r="E3201" s="25">
        <f t="shared" si="542"/>
        <v>7</v>
      </c>
    </row>
    <row r="3202" ht="15.75" hidden="1" customHeight="1">
      <c r="A3202" s="183">
        <v>4063.0</v>
      </c>
      <c r="B3202" s="184" t="s">
        <v>70</v>
      </c>
      <c r="C3202" s="39"/>
      <c r="D3202" s="29">
        <v>0.0</v>
      </c>
      <c r="E3202" s="25">
        <f t="shared" si="542"/>
        <v>8</v>
      </c>
    </row>
    <row r="3203" ht="15.75" hidden="1" customHeight="1">
      <c r="A3203" s="183">
        <v>4069.0</v>
      </c>
      <c r="B3203" s="184" t="s">
        <v>181</v>
      </c>
      <c r="C3203" s="39"/>
      <c r="D3203" s="22">
        <v>0.0</v>
      </c>
      <c r="E3203" s="25">
        <f t="shared" si="542"/>
        <v>9</v>
      </c>
    </row>
    <row r="3204" ht="15.75" hidden="1" customHeight="1">
      <c r="A3204" s="183">
        <v>4080.0</v>
      </c>
      <c r="B3204" s="184" t="s">
        <v>31</v>
      </c>
      <c r="C3204" s="39"/>
      <c r="D3204" s="29">
        <v>0.0</v>
      </c>
      <c r="E3204" s="25">
        <f t="shared" si="542"/>
        <v>10</v>
      </c>
    </row>
    <row r="3205" ht="15.75" hidden="1" customHeight="1">
      <c r="A3205" s="183">
        <v>4082.0</v>
      </c>
      <c r="B3205" s="184" t="s">
        <v>45</v>
      </c>
      <c r="C3205" s="39"/>
      <c r="D3205" s="29">
        <v>0.0</v>
      </c>
      <c r="E3205" s="25">
        <f t="shared" si="542"/>
        <v>11</v>
      </c>
    </row>
    <row r="3206" ht="15.75" hidden="1" customHeight="1">
      <c r="A3206" s="183">
        <v>4190.0</v>
      </c>
      <c r="B3206" s="184" t="s">
        <v>32</v>
      </c>
      <c r="C3206" s="39"/>
      <c r="D3206" s="29">
        <v>0.0</v>
      </c>
      <c r="E3206" s="25">
        <f t="shared" si="542"/>
        <v>12</v>
      </c>
    </row>
    <row r="3207" ht="15.75" hidden="1" customHeight="1">
      <c r="A3207" s="183">
        <v>5050.0</v>
      </c>
      <c r="B3207" s="414" t="s">
        <v>33</v>
      </c>
      <c r="C3207" s="39"/>
      <c r="D3207" s="22">
        <v>0.0</v>
      </c>
      <c r="E3207" s="25">
        <f t="shared" si="542"/>
        <v>13</v>
      </c>
    </row>
    <row r="3208" ht="15.75" hidden="1" customHeight="1">
      <c r="A3208" s="183">
        <v>5420.0</v>
      </c>
      <c r="B3208" s="184" t="s">
        <v>134</v>
      </c>
      <c r="C3208" s="39"/>
      <c r="D3208" s="29">
        <v>0.0</v>
      </c>
      <c r="E3208" s="25">
        <f t="shared" si="542"/>
        <v>14</v>
      </c>
    </row>
    <row r="3209" ht="15.75" hidden="1" customHeight="1">
      <c r="A3209" s="183">
        <v>5501.0</v>
      </c>
      <c r="B3209" s="184" t="s">
        <v>106</v>
      </c>
      <c r="C3209" s="39"/>
      <c r="D3209" s="22">
        <v>0.0</v>
      </c>
      <c r="E3209" s="25">
        <f t="shared" si="542"/>
        <v>15</v>
      </c>
    </row>
    <row r="3210" ht="15.75" hidden="1" customHeight="1">
      <c r="A3210" s="183">
        <v>6070.0</v>
      </c>
      <c r="B3210" s="184" t="s">
        <v>35</v>
      </c>
      <c r="C3210" s="39"/>
      <c r="D3210" s="29">
        <v>0.0</v>
      </c>
      <c r="E3210" s="25">
        <f t="shared" si="542"/>
        <v>16</v>
      </c>
    </row>
    <row r="3211" ht="15.75" hidden="1" customHeight="1">
      <c r="A3211" s="183">
        <v>6211.0</v>
      </c>
      <c r="B3211" s="184" t="s">
        <v>73</v>
      </c>
      <c r="C3211" s="39"/>
      <c r="D3211" s="22">
        <v>0.0</v>
      </c>
      <c r="E3211" s="25">
        <f t="shared" si="542"/>
        <v>17</v>
      </c>
    </row>
    <row r="3212" ht="15.75" hidden="1" customHeight="1">
      <c r="A3212" s="183">
        <v>6250.0</v>
      </c>
      <c r="B3212" s="184" t="s">
        <v>74</v>
      </c>
      <c r="C3212" s="39"/>
      <c r="D3212" s="29">
        <v>0.0</v>
      </c>
      <c r="E3212" s="25">
        <f t="shared" si="542"/>
        <v>18</v>
      </c>
    </row>
    <row r="3213" ht="15.75" hidden="1" customHeight="1">
      <c r="A3213" s="183">
        <v>4803.0</v>
      </c>
      <c r="B3213" s="184" t="s">
        <v>573</v>
      </c>
      <c r="C3213" s="39"/>
      <c r="D3213" s="22">
        <v>0.0</v>
      </c>
      <c r="E3213" s="25">
        <f t="shared" si="542"/>
        <v>19</v>
      </c>
    </row>
    <row r="3214" ht="15.75" hidden="1" customHeight="1">
      <c r="A3214" s="19"/>
      <c r="B3214" s="383" t="s">
        <v>19</v>
      </c>
      <c r="C3214" s="31">
        <f>SUM(C3196:C3212)</f>
        <v>0</v>
      </c>
      <c r="D3214" s="32">
        <f>SUM(D3194:D3213)</f>
        <v>0</v>
      </c>
      <c r="E3214" s="25"/>
    </row>
    <row r="3215" ht="15.75" hidden="1" customHeight="1">
      <c r="A3215" s="52"/>
      <c r="B3215" s="174"/>
      <c r="C3215" s="31"/>
      <c r="D3215" s="32">
        <f>C3214-D3214</f>
        <v>0</v>
      </c>
      <c r="E3215" s="25"/>
    </row>
    <row r="3216" ht="15.75" hidden="1" customHeight="1">
      <c r="A3216" s="182">
        <v>302201.0</v>
      </c>
      <c r="B3216" s="411" t="s">
        <v>574</v>
      </c>
      <c r="C3216" s="12" t="s">
        <v>2</v>
      </c>
      <c r="D3216" s="13" t="s">
        <v>3</v>
      </c>
      <c r="E3216" s="14" t="s">
        <v>4</v>
      </c>
    </row>
    <row r="3217" ht="15.75" hidden="1" customHeight="1">
      <c r="A3217" s="183">
        <v>3011.0</v>
      </c>
      <c r="B3217" s="184" t="s">
        <v>22</v>
      </c>
      <c r="C3217" s="68">
        <v>0.0</v>
      </c>
      <c r="D3217" s="22"/>
      <c r="E3217" s="25">
        <f>E3213+1</f>
        <v>20</v>
      </c>
    </row>
    <row r="3218" ht="15.75" hidden="1" customHeight="1">
      <c r="A3218" s="412">
        <v>3015.0</v>
      </c>
      <c r="B3218" s="413" t="s">
        <v>88</v>
      </c>
      <c r="C3218" s="26">
        <v>0.0</v>
      </c>
      <c r="D3218" s="22"/>
      <c r="E3218" s="25">
        <f t="shared" ref="E3218:E3230" si="543">E3217+1</f>
        <v>21</v>
      </c>
    </row>
    <row r="3219" ht="15.75" hidden="1" customHeight="1">
      <c r="A3219" s="183">
        <v>3110.0</v>
      </c>
      <c r="B3219" s="184" t="s">
        <v>111</v>
      </c>
      <c r="C3219" s="68">
        <v>0.0</v>
      </c>
      <c r="D3219" s="22"/>
      <c r="E3219" s="25">
        <f t="shared" si="543"/>
        <v>22</v>
      </c>
    </row>
    <row r="3220" ht="15.75" hidden="1" customHeight="1">
      <c r="A3220" s="101">
        <v>3980.0</v>
      </c>
      <c r="B3220" s="98" t="s">
        <v>387</v>
      </c>
      <c r="C3220" s="68"/>
      <c r="D3220" s="22"/>
      <c r="E3220" s="25">
        <f t="shared" si="543"/>
        <v>23</v>
      </c>
    </row>
    <row r="3221" ht="15.75" hidden="1" customHeight="1">
      <c r="A3221" s="183">
        <v>4013.0</v>
      </c>
      <c r="B3221" s="184" t="s">
        <v>98</v>
      </c>
      <c r="C3221" s="39"/>
      <c r="D3221" s="29">
        <v>0.0</v>
      </c>
      <c r="E3221" s="25">
        <f t="shared" si="543"/>
        <v>24</v>
      </c>
    </row>
    <row r="3222" ht="15.75" hidden="1" customHeight="1">
      <c r="A3222" s="183">
        <v>4047.0</v>
      </c>
      <c r="B3222" s="184" t="s">
        <v>14</v>
      </c>
      <c r="C3222" s="39"/>
      <c r="D3222" s="29">
        <v>0.0</v>
      </c>
      <c r="E3222" s="25">
        <f t="shared" si="543"/>
        <v>25</v>
      </c>
    </row>
    <row r="3223" ht="15.75" hidden="1" customHeight="1">
      <c r="A3223" s="183">
        <v>4076.0</v>
      </c>
      <c r="B3223" s="184" t="s">
        <v>29</v>
      </c>
      <c r="C3223" s="39"/>
      <c r="D3223" s="29">
        <v>0.0</v>
      </c>
      <c r="E3223" s="25">
        <f t="shared" si="543"/>
        <v>26</v>
      </c>
    </row>
    <row r="3224" ht="15.75" hidden="1" customHeight="1">
      <c r="A3224" s="183">
        <v>4077.0</v>
      </c>
      <c r="B3224" s="184" t="s">
        <v>328</v>
      </c>
      <c r="C3224" s="39"/>
      <c r="D3224" s="29">
        <v>0.0</v>
      </c>
      <c r="E3224" s="25">
        <f t="shared" si="543"/>
        <v>27</v>
      </c>
    </row>
    <row r="3225" ht="15.75" hidden="1" customHeight="1">
      <c r="A3225" s="412">
        <v>4078.0</v>
      </c>
      <c r="B3225" s="413" t="s">
        <v>30</v>
      </c>
      <c r="C3225" s="39"/>
      <c r="D3225" s="29">
        <v>0.0</v>
      </c>
      <c r="E3225" s="25">
        <f t="shared" si="543"/>
        <v>28</v>
      </c>
    </row>
    <row r="3226" ht="15.75" hidden="1" customHeight="1">
      <c r="A3226" s="183">
        <v>5061.0</v>
      </c>
      <c r="B3226" s="184" t="s">
        <v>82</v>
      </c>
      <c r="C3226" s="39"/>
      <c r="D3226" s="29">
        <v>0.0</v>
      </c>
      <c r="E3226" s="25">
        <f t="shared" si="543"/>
        <v>29</v>
      </c>
    </row>
    <row r="3227" ht="15.75" hidden="1" customHeight="1">
      <c r="A3227" s="183">
        <v>5461.0</v>
      </c>
      <c r="B3227" s="184" t="s">
        <v>84</v>
      </c>
      <c r="C3227" s="39"/>
      <c r="D3227" s="29">
        <v>0.0</v>
      </c>
      <c r="E3227" s="25">
        <f t="shared" si="543"/>
        <v>30</v>
      </c>
    </row>
    <row r="3228" ht="15.75" hidden="1" customHeight="1">
      <c r="A3228" s="183">
        <v>5710.0</v>
      </c>
      <c r="B3228" s="184" t="s">
        <v>143</v>
      </c>
      <c r="C3228" s="39"/>
      <c r="D3228" s="29">
        <v>0.0</v>
      </c>
      <c r="E3228" s="25">
        <f t="shared" si="543"/>
        <v>31</v>
      </c>
    </row>
    <row r="3229" ht="15.75" hidden="1" customHeight="1">
      <c r="A3229" s="412">
        <v>6800.0</v>
      </c>
      <c r="B3229" s="413" t="s">
        <v>575</v>
      </c>
      <c r="C3229" s="39"/>
      <c r="D3229" s="29">
        <v>0.0</v>
      </c>
      <c r="E3229" s="25">
        <f t="shared" si="543"/>
        <v>32</v>
      </c>
    </row>
    <row r="3230" ht="15.75" hidden="1" customHeight="1">
      <c r="A3230" s="183">
        <v>6991.0</v>
      </c>
      <c r="B3230" s="413" t="s">
        <v>76</v>
      </c>
      <c r="C3230" s="39"/>
      <c r="D3230" s="29">
        <v>0.0</v>
      </c>
      <c r="E3230" s="25">
        <f t="shared" si="543"/>
        <v>33</v>
      </c>
    </row>
    <row r="3231" ht="15.75" hidden="1" customHeight="1">
      <c r="A3231" s="19"/>
      <c r="B3231" s="383" t="s">
        <v>19</v>
      </c>
      <c r="C3231" s="31">
        <f t="shared" ref="C3231:D3231" si="544">SUM(C3217:C3230)</f>
        <v>0</v>
      </c>
      <c r="D3231" s="32">
        <f t="shared" si="544"/>
        <v>0</v>
      </c>
      <c r="E3231" s="25"/>
    </row>
    <row r="3232" ht="15.75" hidden="1" customHeight="1">
      <c r="A3232" s="52"/>
      <c r="B3232" s="174"/>
      <c r="C3232" s="31"/>
      <c r="D3232" s="32">
        <f>C3231-D3231</f>
        <v>0</v>
      </c>
      <c r="E3232" s="25"/>
    </row>
    <row r="3233" ht="15.75" hidden="1" customHeight="1">
      <c r="A3233" s="182">
        <v>302202.0</v>
      </c>
      <c r="B3233" s="415" t="s">
        <v>576</v>
      </c>
      <c r="C3233" s="12" t="s">
        <v>2</v>
      </c>
      <c r="D3233" s="13" t="s">
        <v>3</v>
      </c>
      <c r="E3233" s="14" t="s">
        <v>4</v>
      </c>
    </row>
    <row r="3234" ht="15.75" hidden="1" customHeight="1">
      <c r="A3234" s="183">
        <v>3011.0</v>
      </c>
      <c r="B3234" s="184" t="s">
        <v>22</v>
      </c>
      <c r="C3234" s="68">
        <v>0.0</v>
      </c>
      <c r="D3234" s="22"/>
      <c r="E3234" s="25">
        <f>E3230+1</f>
        <v>34</v>
      </c>
    </row>
    <row r="3235" ht="15.75" hidden="1" customHeight="1">
      <c r="A3235" s="183">
        <v>3030.0</v>
      </c>
      <c r="B3235" s="184" t="s">
        <v>117</v>
      </c>
      <c r="C3235" s="68">
        <v>0.0</v>
      </c>
      <c r="D3235" s="22"/>
      <c r="E3235" s="25">
        <f t="shared" ref="E3235:E3240" si="545">E3234+1</f>
        <v>35</v>
      </c>
    </row>
    <row r="3236" ht="15.75" hidden="1" customHeight="1">
      <c r="A3236" s="183">
        <v>4012.0</v>
      </c>
      <c r="B3236" s="184" t="s">
        <v>118</v>
      </c>
      <c r="C3236" s="39"/>
      <c r="D3236" s="22">
        <f>C3235/1.9</f>
        <v>0</v>
      </c>
      <c r="E3236" s="25">
        <f t="shared" si="545"/>
        <v>36</v>
      </c>
    </row>
    <row r="3237" ht="15.75" hidden="1" customHeight="1">
      <c r="A3237" s="183">
        <v>4013.0</v>
      </c>
      <c r="B3237" s="184" t="s">
        <v>98</v>
      </c>
      <c r="C3237" s="39"/>
      <c r="D3237" s="29">
        <v>0.0</v>
      </c>
      <c r="E3237" s="25">
        <f t="shared" si="545"/>
        <v>37</v>
      </c>
    </row>
    <row r="3238" ht="15.75" hidden="1" customHeight="1">
      <c r="A3238" s="183">
        <v>4078.0</v>
      </c>
      <c r="B3238" s="184" t="s">
        <v>30</v>
      </c>
      <c r="C3238" s="39"/>
      <c r="D3238" s="29">
        <v>0.0</v>
      </c>
      <c r="E3238" s="25">
        <f t="shared" si="545"/>
        <v>38</v>
      </c>
    </row>
    <row r="3239" ht="15.75" hidden="1" customHeight="1">
      <c r="A3239" s="183">
        <v>4076.0</v>
      </c>
      <c r="B3239" s="184" t="s">
        <v>29</v>
      </c>
      <c r="C3239" s="39"/>
      <c r="D3239" s="29">
        <v>0.0</v>
      </c>
      <c r="E3239" s="25">
        <f t="shared" si="545"/>
        <v>39</v>
      </c>
    </row>
    <row r="3240" ht="15.75" hidden="1" customHeight="1">
      <c r="A3240" s="183">
        <v>5061.0</v>
      </c>
      <c r="B3240" s="184" t="s">
        <v>82</v>
      </c>
      <c r="C3240" s="39"/>
      <c r="D3240" s="29">
        <v>0.0</v>
      </c>
      <c r="E3240" s="25">
        <f t="shared" si="545"/>
        <v>40</v>
      </c>
    </row>
    <row r="3241" ht="15.75" hidden="1" customHeight="1">
      <c r="A3241" s="183">
        <v>6800.0</v>
      </c>
      <c r="B3241" s="184" t="s">
        <v>114</v>
      </c>
      <c r="C3241" s="39"/>
      <c r="D3241" s="29">
        <v>0.0</v>
      </c>
      <c r="E3241" s="25">
        <f>E3239+1</f>
        <v>40</v>
      </c>
    </row>
    <row r="3242" ht="15.75" hidden="1" customHeight="1">
      <c r="A3242" s="183">
        <v>6993.0</v>
      </c>
      <c r="B3242" s="184" t="s">
        <v>115</v>
      </c>
      <c r="C3242" s="39"/>
      <c r="D3242" s="29">
        <v>0.0</v>
      </c>
      <c r="E3242" s="25">
        <f>E3241+1</f>
        <v>41</v>
      </c>
    </row>
    <row r="3243" ht="15.75" hidden="1" customHeight="1">
      <c r="A3243" s="19"/>
      <c r="B3243" s="383" t="s">
        <v>19</v>
      </c>
      <c r="C3243" s="31">
        <f t="shared" ref="C3243:D3243" si="546">sum(C3234:C3242)</f>
        <v>0</v>
      </c>
      <c r="D3243" s="32">
        <f t="shared" si="546"/>
        <v>0</v>
      </c>
      <c r="E3243" s="25"/>
    </row>
    <row r="3244" ht="15.75" hidden="1" customHeight="1">
      <c r="A3244" s="19"/>
      <c r="B3244" s="184"/>
      <c r="C3244" s="31"/>
      <c r="D3244" s="32">
        <f>C3243-D3243</f>
        <v>0</v>
      </c>
      <c r="E3244" s="25"/>
    </row>
    <row r="3245" ht="15.75" hidden="1" customHeight="1">
      <c r="A3245" s="182">
        <v>302203.0</v>
      </c>
      <c r="B3245" s="411" t="s">
        <v>577</v>
      </c>
      <c r="C3245" s="12" t="s">
        <v>2</v>
      </c>
      <c r="D3245" s="13" t="s">
        <v>3</v>
      </c>
      <c r="E3245" s="14" t="s">
        <v>4</v>
      </c>
    </row>
    <row r="3246" ht="15.75" hidden="1" customHeight="1">
      <c r="A3246" s="183">
        <v>3011.0</v>
      </c>
      <c r="B3246" s="184" t="s">
        <v>22</v>
      </c>
      <c r="C3246" s="68">
        <v>0.0</v>
      </c>
      <c r="D3246" s="22"/>
      <c r="E3246" s="40">
        <f>E3242+1</f>
        <v>42</v>
      </c>
    </row>
    <row r="3247" ht="15.75" hidden="1" customHeight="1">
      <c r="A3247" s="183">
        <v>4076.0</v>
      </c>
      <c r="B3247" s="184" t="s">
        <v>29</v>
      </c>
      <c r="C3247" s="39"/>
      <c r="D3247" s="29">
        <v>0.0</v>
      </c>
      <c r="E3247" s="40">
        <f t="shared" ref="E3247:E3250" si="547">E3246+1</f>
        <v>43</v>
      </c>
    </row>
    <row r="3248" ht="15.75" hidden="1" customHeight="1">
      <c r="A3248" s="183">
        <v>5810.0</v>
      </c>
      <c r="B3248" s="184" t="s">
        <v>34</v>
      </c>
      <c r="C3248" s="39"/>
      <c r="D3248" s="29">
        <v>0.0</v>
      </c>
      <c r="E3248" s="40">
        <f t="shared" si="547"/>
        <v>44</v>
      </c>
    </row>
    <row r="3249" ht="15.75" hidden="1" customHeight="1">
      <c r="A3249" s="183">
        <v>5010.0</v>
      </c>
      <c r="B3249" s="184" t="s">
        <v>61</v>
      </c>
      <c r="C3249" s="39"/>
      <c r="D3249" s="29">
        <v>0.0</v>
      </c>
      <c r="E3249" s="40">
        <f t="shared" si="547"/>
        <v>45</v>
      </c>
    </row>
    <row r="3250" ht="15.75" hidden="1" customHeight="1">
      <c r="A3250" s="183">
        <v>6993.0</v>
      </c>
      <c r="B3250" s="184" t="s">
        <v>115</v>
      </c>
      <c r="C3250" s="39"/>
      <c r="D3250" s="29">
        <v>0.0</v>
      </c>
      <c r="E3250" s="40">
        <f t="shared" si="547"/>
        <v>46</v>
      </c>
    </row>
    <row r="3251" ht="15.75" hidden="1" customHeight="1">
      <c r="A3251" s="52"/>
      <c r="B3251" s="416"/>
      <c r="C3251" s="31">
        <f t="shared" ref="C3251:D3251" si="548">sum(C3246:C3250)</f>
        <v>0</v>
      </c>
      <c r="D3251" s="32">
        <f t="shared" si="548"/>
        <v>0</v>
      </c>
      <c r="E3251" s="25"/>
    </row>
    <row r="3252" ht="15.75" hidden="1" customHeight="1">
      <c r="A3252" s="52"/>
      <c r="B3252" s="416"/>
      <c r="C3252" s="39"/>
      <c r="D3252" s="32">
        <f>C3251-D3251</f>
        <v>0</v>
      </c>
      <c r="E3252" s="25"/>
    </row>
    <row r="3253" ht="15.75" hidden="1" customHeight="1">
      <c r="A3253" s="182">
        <v>302204.0</v>
      </c>
      <c r="B3253" s="415" t="s">
        <v>578</v>
      </c>
      <c r="C3253" s="12" t="s">
        <v>2</v>
      </c>
      <c r="D3253" s="13" t="s">
        <v>3</v>
      </c>
      <c r="E3253" s="14" t="s">
        <v>4</v>
      </c>
    </row>
    <row r="3254" ht="15.75" hidden="1" customHeight="1">
      <c r="A3254" s="183">
        <v>3011.0</v>
      </c>
      <c r="B3254" s="184" t="s">
        <v>22</v>
      </c>
      <c r="C3254" s="68">
        <v>0.0</v>
      </c>
      <c r="D3254" s="22"/>
      <c r="E3254" s="40">
        <f>E3250+1</f>
        <v>47</v>
      </c>
    </row>
    <row r="3255" ht="15.75" hidden="1" customHeight="1">
      <c r="A3255" s="412">
        <v>3030.0</v>
      </c>
      <c r="B3255" s="413" t="s">
        <v>117</v>
      </c>
      <c r="C3255" s="68">
        <v>0.0</v>
      </c>
      <c r="D3255" s="22"/>
      <c r="E3255" s="40">
        <f t="shared" ref="E3255:E3261" si="549">E3254+1</f>
        <v>48</v>
      </c>
    </row>
    <row r="3256" ht="15.75" hidden="1" customHeight="1">
      <c r="A3256" s="412">
        <v>4012.0</v>
      </c>
      <c r="B3256" s="413" t="s">
        <v>118</v>
      </c>
      <c r="C3256" s="39"/>
      <c r="D3256" s="22">
        <f>C3255/1.9</f>
        <v>0</v>
      </c>
      <c r="E3256" s="40">
        <f t="shared" si="549"/>
        <v>49</v>
      </c>
    </row>
    <row r="3257" ht="15.75" hidden="1" customHeight="1">
      <c r="A3257" s="412">
        <v>4013.0</v>
      </c>
      <c r="B3257" s="413" t="s">
        <v>567</v>
      </c>
      <c r="C3257" s="39"/>
      <c r="D3257" s="29">
        <v>0.0</v>
      </c>
      <c r="E3257" s="40">
        <f t="shared" si="549"/>
        <v>50</v>
      </c>
    </row>
    <row r="3258" ht="15.75" hidden="1" customHeight="1">
      <c r="A3258" s="183">
        <v>4076.0</v>
      </c>
      <c r="B3258" s="184" t="s">
        <v>29</v>
      </c>
      <c r="C3258" s="39"/>
      <c r="D3258" s="29">
        <v>0.0</v>
      </c>
      <c r="E3258" s="40">
        <f t="shared" si="549"/>
        <v>51</v>
      </c>
    </row>
    <row r="3259" ht="15.75" hidden="1" customHeight="1">
      <c r="A3259" s="412">
        <v>4078.0</v>
      </c>
      <c r="B3259" s="413" t="s">
        <v>30</v>
      </c>
      <c r="C3259" s="39"/>
      <c r="D3259" s="29">
        <v>0.0</v>
      </c>
      <c r="E3259" s="40">
        <f t="shared" si="549"/>
        <v>52</v>
      </c>
    </row>
    <row r="3260" ht="15.75" hidden="1" customHeight="1">
      <c r="A3260" s="412">
        <v>6800.0</v>
      </c>
      <c r="B3260" s="413" t="s">
        <v>575</v>
      </c>
      <c r="C3260" s="39"/>
      <c r="D3260" s="29">
        <v>0.0</v>
      </c>
      <c r="E3260" s="40">
        <f t="shared" si="549"/>
        <v>53</v>
      </c>
    </row>
    <row r="3261" ht="15.75" hidden="1" customHeight="1">
      <c r="A3261" s="183">
        <v>6993.0</v>
      </c>
      <c r="B3261" s="184" t="s">
        <v>115</v>
      </c>
      <c r="C3261" s="39"/>
      <c r="D3261" s="29">
        <v>0.0</v>
      </c>
      <c r="E3261" s="40">
        <f t="shared" si="549"/>
        <v>54</v>
      </c>
    </row>
    <row r="3262" ht="15.75" hidden="1" customHeight="1">
      <c r="A3262" s="52"/>
      <c r="B3262" s="416"/>
      <c r="C3262" s="31">
        <f t="shared" ref="C3262:D3262" si="550">sum(C3254:C3261)</f>
        <v>0</v>
      </c>
      <c r="D3262" s="32">
        <f t="shared" si="550"/>
        <v>0</v>
      </c>
      <c r="E3262" s="25"/>
    </row>
    <row r="3263" ht="15.75" hidden="1" customHeight="1">
      <c r="A3263" s="52"/>
      <c r="B3263" s="416"/>
      <c r="C3263" s="39"/>
      <c r="D3263" s="32">
        <f>C3262-D3262</f>
        <v>0</v>
      </c>
      <c r="E3263" s="25"/>
    </row>
    <row r="3264" ht="15.75" hidden="1" customHeight="1">
      <c r="A3264" s="182">
        <v>302205.0</v>
      </c>
      <c r="B3264" s="415" t="s">
        <v>579</v>
      </c>
      <c r="C3264" s="12" t="s">
        <v>2</v>
      </c>
      <c r="D3264" s="13" t="s">
        <v>3</v>
      </c>
      <c r="E3264" s="14" t="s">
        <v>4</v>
      </c>
    </row>
    <row r="3265" ht="15.75" hidden="1" customHeight="1">
      <c r="A3265" s="183">
        <v>3011.0</v>
      </c>
      <c r="B3265" s="184" t="s">
        <v>22</v>
      </c>
      <c r="C3265" s="68">
        <v>0.0</v>
      </c>
      <c r="D3265" s="22"/>
      <c r="E3265" s="40">
        <f>E3261+1</f>
        <v>55</v>
      </c>
    </row>
    <row r="3266" ht="15.75" hidden="1" customHeight="1">
      <c r="A3266" s="412">
        <v>4013.0</v>
      </c>
      <c r="B3266" s="413" t="s">
        <v>567</v>
      </c>
      <c r="C3266" s="39"/>
      <c r="D3266" s="29">
        <v>0.0</v>
      </c>
      <c r="E3266" s="40">
        <f t="shared" ref="E3266:E3271" si="551">E3265+1</f>
        <v>56</v>
      </c>
    </row>
    <row r="3267" ht="15.75" hidden="1" customHeight="1">
      <c r="A3267" s="412">
        <v>4040.0</v>
      </c>
      <c r="B3267" s="413" t="s">
        <v>580</v>
      </c>
      <c r="C3267" s="39"/>
      <c r="D3267" s="29">
        <v>0.0</v>
      </c>
      <c r="E3267" s="40">
        <f t="shared" si="551"/>
        <v>57</v>
      </c>
    </row>
    <row r="3268" ht="15.75" hidden="1" customHeight="1">
      <c r="A3268" s="183">
        <v>4076.0</v>
      </c>
      <c r="B3268" s="184" t="s">
        <v>29</v>
      </c>
      <c r="C3268" s="39"/>
      <c r="D3268" s="29">
        <v>0.0</v>
      </c>
      <c r="E3268" s="40">
        <f t="shared" si="551"/>
        <v>58</v>
      </c>
    </row>
    <row r="3269" ht="15.75" hidden="1" customHeight="1">
      <c r="A3269" s="412">
        <v>4078.0</v>
      </c>
      <c r="B3269" s="413" t="s">
        <v>30</v>
      </c>
      <c r="C3269" s="39"/>
      <c r="D3269" s="29">
        <v>0.0</v>
      </c>
      <c r="E3269" s="40">
        <f t="shared" si="551"/>
        <v>59</v>
      </c>
    </row>
    <row r="3270" ht="15.75" hidden="1" customHeight="1">
      <c r="A3270" s="412">
        <v>6800.0</v>
      </c>
      <c r="B3270" s="413" t="s">
        <v>575</v>
      </c>
      <c r="C3270" s="39"/>
      <c r="D3270" s="29">
        <v>0.0</v>
      </c>
      <c r="E3270" s="40">
        <f t="shared" si="551"/>
        <v>60</v>
      </c>
    </row>
    <row r="3271" ht="15.75" hidden="1" customHeight="1">
      <c r="A3271" s="183">
        <v>6993.0</v>
      </c>
      <c r="B3271" s="184" t="s">
        <v>115</v>
      </c>
      <c r="C3271" s="39"/>
      <c r="D3271" s="29">
        <v>0.0</v>
      </c>
      <c r="E3271" s="40">
        <f t="shared" si="551"/>
        <v>61</v>
      </c>
    </row>
    <row r="3272" ht="15.75" hidden="1" customHeight="1">
      <c r="A3272" s="52"/>
      <c r="B3272" s="416"/>
      <c r="C3272" s="31">
        <f t="shared" ref="C3272:D3272" si="552">sum(C3265:C3271)</f>
        <v>0</v>
      </c>
      <c r="D3272" s="32">
        <f t="shared" si="552"/>
        <v>0</v>
      </c>
      <c r="E3272" s="25"/>
    </row>
    <row r="3273" ht="15.75" hidden="1" customHeight="1">
      <c r="A3273" s="52"/>
      <c r="B3273" s="416"/>
      <c r="C3273" s="39"/>
      <c r="D3273" s="32">
        <f>C3272-D3272</f>
        <v>0</v>
      </c>
      <c r="E3273" s="25"/>
    </row>
    <row r="3274" ht="15.75" hidden="1" customHeight="1">
      <c r="A3274" s="47"/>
      <c r="B3274" s="161" t="s">
        <v>581</v>
      </c>
      <c r="C3274" s="12">
        <f t="shared" ref="C3274:D3274" si="553">C3214+C3243+C3231+C3251+C3262+C3272</f>
        <v>0</v>
      </c>
      <c r="D3274" s="13">
        <f t="shared" si="553"/>
        <v>0</v>
      </c>
      <c r="E3274" s="14"/>
    </row>
    <row r="3275" ht="15.75" hidden="1" customHeight="1">
      <c r="A3275" s="47"/>
      <c r="B3275" s="161" t="s">
        <v>582</v>
      </c>
      <c r="C3275" s="35"/>
      <c r="D3275" s="13">
        <f>C3274-D3274</f>
        <v>0</v>
      </c>
      <c r="E3275" s="37"/>
    </row>
    <row r="3276" ht="15.75" hidden="1" customHeight="1">
      <c r="A3276" s="47"/>
      <c r="B3276" s="161" t="s">
        <v>583</v>
      </c>
      <c r="C3276" s="35"/>
      <c r="D3276" s="417" t="str">
        <f>-1+(C3274/D3274)</f>
        <v>#DIV/0!</v>
      </c>
      <c r="E3276" s="37"/>
    </row>
    <row r="3277" ht="15.75" customHeight="1">
      <c r="A3277" s="19"/>
      <c r="B3277" s="383"/>
      <c r="C3277" s="64"/>
      <c r="D3277" s="65"/>
      <c r="E3277" s="25"/>
    </row>
    <row r="3278" ht="15.75" customHeight="1">
      <c r="A3278" s="19"/>
      <c r="B3278" s="383"/>
      <c r="C3278" s="64"/>
      <c r="D3278" s="65"/>
      <c r="E3278" s="25"/>
    </row>
    <row r="3279" ht="15.75" customHeight="1">
      <c r="A3279" s="418"/>
      <c r="B3279" s="419" t="s">
        <v>584</v>
      </c>
      <c r="C3279" s="16" t="s">
        <v>6</v>
      </c>
      <c r="D3279" s="5"/>
      <c r="E3279" s="9"/>
    </row>
    <row r="3280" ht="15.75" hidden="1" customHeight="1">
      <c r="A3280" s="420" t="s">
        <v>585</v>
      </c>
      <c r="B3280" s="421" t="s">
        <v>586</v>
      </c>
      <c r="C3280" s="204" t="s">
        <v>2</v>
      </c>
      <c r="D3280" s="205" t="s">
        <v>3</v>
      </c>
      <c r="E3280" s="398" t="s">
        <v>4</v>
      </c>
    </row>
    <row r="3281" ht="15.75" hidden="1" customHeight="1">
      <c r="A3281" s="99">
        <v>4082.0</v>
      </c>
      <c r="B3281" s="422" t="s">
        <v>45</v>
      </c>
      <c r="C3281" s="39"/>
      <c r="D3281" s="196"/>
      <c r="E3281" s="25">
        <v>1.0</v>
      </c>
    </row>
    <row r="3282" ht="15.75" hidden="1" customHeight="1">
      <c r="A3282" s="99">
        <v>4190.0</v>
      </c>
      <c r="B3282" s="422" t="s">
        <v>32</v>
      </c>
      <c r="C3282" s="39"/>
      <c r="D3282" s="196"/>
      <c r="E3282" s="25">
        <f t="shared" ref="E3282:E3283" si="554">E3281+1</f>
        <v>2</v>
      </c>
    </row>
    <row r="3283" ht="15.75" hidden="1" customHeight="1">
      <c r="A3283" s="99">
        <v>4076.0</v>
      </c>
      <c r="B3283" s="422" t="s">
        <v>29</v>
      </c>
      <c r="C3283" s="39"/>
      <c r="D3283" s="196"/>
      <c r="E3283" s="25">
        <f t="shared" si="554"/>
        <v>3</v>
      </c>
    </row>
    <row r="3284" ht="15.75" hidden="1" customHeight="1">
      <c r="A3284" s="423"/>
      <c r="B3284" s="424" t="s">
        <v>19</v>
      </c>
      <c r="C3284" s="31">
        <f>SUM(C3282:C3283)</f>
        <v>0</v>
      </c>
      <c r="D3284" s="32">
        <f>SUM(D3281:D3283)</f>
        <v>0</v>
      </c>
      <c r="E3284" s="25"/>
    </row>
    <row r="3285" ht="15.75" hidden="1" customHeight="1">
      <c r="A3285" s="423"/>
      <c r="B3285" s="425" t="s">
        <v>20</v>
      </c>
      <c r="C3285" s="53"/>
      <c r="D3285" s="32">
        <f>C3284-D3284</f>
        <v>0</v>
      </c>
      <c r="E3285" s="25"/>
    </row>
    <row r="3286" ht="15.75" hidden="1" customHeight="1">
      <c r="A3286" s="420" t="s">
        <v>587</v>
      </c>
      <c r="B3286" s="426" t="s">
        <v>588</v>
      </c>
      <c r="C3286" s="84"/>
      <c r="D3286" s="85"/>
      <c r="E3286" s="86"/>
    </row>
    <row r="3287" ht="15.75" hidden="1" customHeight="1">
      <c r="A3287" s="99">
        <v>3011.0</v>
      </c>
      <c r="B3287" s="422" t="s">
        <v>22</v>
      </c>
      <c r="C3287" s="39"/>
      <c r="D3287" s="196"/>
      <c r="E3287" s="25">
        <f>E3283+1</f>
        <v>4</v>
      </c>
    </row>
    <row r="3288" ht="15.75" hidden="1" customHeight="1">
      <c r="A3288" s="99">
        <v>4076.0</v>
      </c>
      <c r="B3288" s="422" t="s">
        <v>29</v>
      </c>
      <c r="C3288" s="39"/>
      <c r="D3288" s="196"/>
      <c r="E3288" s="25">
        <f>E3287+1</f>
        <v>5</v>
      </c>
    </row>
    <row r="3289" ht="15.75" hidden="1" customHeight="1">
      <c r="A3289" s="99"/>
      <c r="B3289" s="427" t="s">
        <v>19</v>
      </c>
      <c r="C3289" s="31">
        <f>SUM(C3282:C3287)</f>
        <v>0</v>
      </c>
      <c r="D3289" s="32">
        <f>SUM(D3287:D3288)</f>
        <v>0</v>
      </c>
      <c r="E3289" s="25"/>
    </row>
    <row r="3290" ht="15.75" hidden="1" customHeight="1">
      <c r="A3290" s="423"/>
      <c r="B3290" s="427" t="s">
        <v>20</v>
      </c>
      <c r="C3290" s="39"/>
      <c r="D3290" s="32">
        <f>C3289-D3289</f>
        <v>0</v>
      </c>
      <c r="E3290" s="40"/>
    </row>
    <row r="3291" ht="15.75" hidden="1" customHeight="1">
      <c r="A3291" s="428"/>
      <c r="B3291" s="429" t="s">
        <v>589</v>
      </c>
      <c r="C3291" s="332">
        <f t="shared" ref="C3291:D3291" si="555">C3289+C3284</f>
        <v>0</v>
      </c>
      <c r="D3291" s="430">
        <f t="shared" si="555"/>
        <v>0</v>
      </c>
      <c r="E3291" s="333"/>
    </row>
    <row r="3292" ht="15.75" hidden="1" customHeight="1">
      <c r="A3292" s="428"/>
      <c r="B3292" s="429" t="s">
        <v>590</v>
      </c>
      <c r="C3292" s="332"/>
      <c r="D3292" s="430">
        <f>C3291-D3291</f>
        <v>0</v>
      </c>
      <c r="E3292" s="333"/>
    </row>
    <row r="3293" ht="15.75" customHeight="1">
      <c r="A3293" s="62"/>
      <c r="B3293" s="431"/>
      <c r="C3293" s="64"/>
      <c r="D3293" s="65"/>
      <c r="E3293" s="25"/>
    </row>
    <row r="3294" ht="15.75" customHeight="1">
      <c r="A3294" s="62"/>
      <c r="B3294" s="431"/>
      <c r="C3294" s="64"/>
      <c r="D3294" s="65"/>
      <c r="E3294" s="25"/>
    </row>
    <row r="3295" ht="15.75" customHeight="1">
      <c r="A3295" s="409"/>
      <c r="B3295" s="432"/>
      <c r="C3295" s="433"/>
      <c r="D3295" s="5"/>
      <c r="E3295" s="9"/>
    </row>
    <row r="3296" ht="15.75" customHeight="1">
      <c r="A3296" s="409"/>
      <c r="B3296" s="432"/>
      <c r="C3296" s="433"/>
      <c r="D3296" s="5"/>
      <c r="E3296" s="9"/>
    </row>
    <row r="3297" ht="15.75" customHeight="1">
      <c r="A3297" s="10"/>
      <c r="B3297" s="126" t="s">
        <v>536</v>
      </c>
      <c r="C3297" s="434">
        <f t="shared" ref="C3297:D3297" si="556">C111+C296+C334+C508+C835+C1017+C1178+C1544+C2094+C2494+C2508+C2798+C2893+C3005+C3059+C3100+C3189+C3274+C3291</f>
        <v>16200124</v>
      </c>
      <c r="D3297" s="435">
        <f t="shared" si="556"/>
        <v>16153623.66</v>
      </c>
      <c r="E3297" s="37"/>
    </row>
    <row r="3298" ht="15.75" customHeight="1">
      <c r="A3298" s="10"/>
      <c r="B3298" s="126" t="s">
        <v>591</v>
      </c>
      <c r="C3298" s="434"/>
      <c r="D3298" s="435">
        <f>C3297-D3297</f>
        <v>46500.3358</v>
      </c>
      <c r="E3298" s="37"/>
    </row>
    <row r="3299" ht="15.75" customHeight="1">
      <c r="A3299" s="10"/>
      <c r="B3299" s="436" t="s">
        <v>583</v>
      </c>
      <c r="C3299" s="434"/>
      <c r="D3299" s="393">
        <f>D3298/C3297</f>
        <v>0.002870369128</v>
      </c>
      <c r="E3299" s="37"/>
    </row>
    <row r="3300" ht="15.75" customHeight="1">
      <c r="A3300" s="10"/>
      <c r="B3300" s="126"/>
      <c r="C3300" s="434"/>
      <c r="D3300" s="435"/>
      <c r="E3300" s="37"/>
    </row>
    <row r="3301" ht="15.75" customHeight="1">
      <c r="A3301" s="10"/>
      <c r="B3301" s="126" t="s">
        <v>592</v>
      </c>
      <c r="C3301" s="434">
        <f t="shared" ref="C3301:D3301" si="557">C3297-C3274</f>
        <v>16200124</v>
      </c>
      <c r="D3301" s="435">
        <f t="shared" si="557"/>
        <v>16153623.66</v>
      </c>
      <c r="E3301" s="37"/>
    </row>
    <row r="3302" ht="15.75" customHeight="1">
      <c r="A3302" s="10"/>
      <c r="B3302" s="126" t="s">
        <v>593</v>
      </c>
      <c r="C3302" s="434"/>
      <c r="D3302" s="435">
        <f>D3298-D3275</f>
        <v>46500.3358</v>
      </c>
      <c r="E3302" s="37"/>
    </row>
    <row r="3303" ht="15.75" customHeight="1">
      <c r="A3303" s="10"/>
      <c r="B3303" s="436" t="s">
        <v>594</v>
      </c>
      <c r="C3303" s="434"/>
      <c r="D3303" s="393">
        <f>D3302/C3301</f>
        <v>0.002870369128</v>
      </c>
      <c r="E3303" s="37"/>
    </row>
    <row r="3304" ht="15.75" customHeight="1">
      <c r="A3304" s="49"/>
      <c r="B3304" s="437"/>
      <c r="C3304" s="434"/>
      <c r="D3304" s="435"/>
      <c r="E3304" s="37"/>
    </row>
    <row r="3305" ht="15.75" customHeight="1">
      <c r="A3305" s="10"/>
      <c r="B3305" s="134" t="s">
        <v>595</v>
      </c>
      <c r="C3305" s="434"/>
      <c r="D3305" s="438">
        <v>556192.0</v>
      </c>
      <c r="E3305" s="37"/>
    </row>
    <row r="3306" ht="15.75" customHeight="1">
      <c r="A3306" s="10"/>
      <c r="B3306" s="439" t="s">
        <v>596</v>
      </c>
      <c r="C3306" s="434"/>
      <c r="D3306" s="393">
        <f>D3305/C3297</f>
        <v>0.03433257671</v>
      </c>
      <c r="E3306" s="37"/>
    </row>
    <row r="3307" ht="15.75" customHeight="1">
      <c r="A3307" s="10"/>
      <c r="B3307" s="440" t="s">
        <v>597</v>
      </c>
      <c r="C3307" s="441"/>
      <c r="D3307" s="393">
        <f>(D3298+D3305)/C3297</f>
        <v>0.03720294584</v>
      </c>
      <c r="E3307" s="37"/>
    </row>
    <row r="3308" ht="15.75" customHeight="1">
      <c r="A3308" s="10"/>
      <c r="B3308" s="442" t="s">
        <v>598</v>
      </c>
      <c r="C3308" s="441"/>
      <c r="D3308" s="393">
        <f>(D3305+D3302)/C3301</f>
        <v>0.03720294584</v>
      </c>
      <c r="E3308" s="37"/>
    </row>
    <row r="3309" ht="15.75" customHeight="1">
      <c r="A3309" s="443"/>
      <c r="B3309" s="443"/>
      <c r="C3309" s="81"/>
      <c r="D3309" s="82"/>
      <c r="E3309" s="81"/>
    </row>
    <row r="3310" ht="15.75" customHeight="1">
      <c r="A3310" s="443"/>
      <c r="B3310" s="443"/>
      <c r="C3310" s="81"/>
      <c r="D3310" s="82"/>
      <c r="E3310" s="81"/>
    </row>
  </sheetData>
  <mergeCells count="23">
    <mergeCell ref="C839:D839"/>
    <mergeCell ref="C1021:D1021"/>
    <mergeCell ref="C1182:D1182"/>
    <mergeCell ref="C1548:D1548"/>
    <mergeCell ref="C2497:D2497"/>
    <mergeCell ref="C2611:D2611"/>
    <mergeCell ref="C2802:D2802"/>
    <mergeCell ref="C2897:D2897"/>
    <mergeCell ref="C3010:D3010"/>
    <mergeCell ref="C3063:D3063"/>
    <mergeCell ref="C3295:D3295"/>
    <mergeCell ref="C3296:D3296"/>
    <mergeCell ref="C3104:D3104"/>
    <mergeCell ref="C3193:D3193"/>
    <mergeCell ref="C3279:D3279"/>
    <mergeCell ref="C4:D4"/>
    <mergeCell ref="C115:D115"/>
    <mergeCell ref="C1:E1"/>
    <mergeCell ref="C2:D2"/>
    <mergeCell ref="C300:D300"/>
    <mergeCell ref="C338:D338"/>
    <mergeCell ref="C512:D512"/>
    <mergeCell ref="C2098:D2098"/>
  </mergeCells>
  <printOptions gridLines="1" horizontalCentered="1"/>
  <pageMargins bottom="0.75" footer="0.0" header="0.0" left="0.7" right="0.7" top="0.75"/>
  <pageSetup fitToHeight="0" paperSize="9" orientation="portrait" pageOrder="overThenDown"/>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6.25"/>
    <col customWidth="1" min="2" max="2" width="23.88"/>
    <col customWidth="1" min="3" max="3" width="10.88"/>
    <col customWidth="1" min="4" max="4" width="7.75"/>
    <col customWidth="1" min="5" max="5" width="10.0"/>
    <col customWidth="1" min="6" max="6" width="12.63"/>
    <col customWidth="1" min="7" max="7" width="18.13"/>
    <col customWidth="1" min="9" max="9" width="12.5"/>
    <col customWidth="1" min="10" max="10" width="13.88"/>
  </cols>
  <sheetData>
    <row r="1" ht="15.75" customHeight="1">
      <c r="A1" s="444"/>
      <c r="B1" s="445"/>
      <c r="C1" s="446"/>
      <c r="D1" s="446"/>
      <c r="E1" s="447"/>
      <c r="F1" s="448"/>
      <c r="G1" s="449"/>
      <c r="H1" s="444"/>
      <c r="I1" s="450"/>
    </row>
    <row r="2" ht="15.75" customHeight="1">
      <c r="A2" s="451" t="s">
        <v>599</v>
      </c>
      <c r="B2" s="452" t="s">
        <v>600</v>
      </c>
      <c r="C2" s="453" t="s">
        <v>601</v>
      </c>
      <c r="D2" s="453" t="s">
        <v>602</v>
      </c>
      <c r="E2" s="454" t="s">
        <v>603</v>
      </c>
      <c r="F2" s="455"/>
      <c r="G2" s="456" t="s">
        <v>604</v>
      </c>
      <c r="H2" s="457"/>
      <c r="I2" s="458" t="s">
        <v>605</v>
      </c>
      <c r="J2" s="458" t="s">
        <v>606</v>
      </c>
    </row>
    <row r="3" ht="15.75" customHeight="1">
      <c r="A3" s="444"/>
      <c r="B3" s="459"/>
      <c r="C3" s="444"/>
      <c r="D3" s="444"/>
      <c r="E3" s="460"/>
      <c r="F3" s="461"/>
      <c r="G3" s="462"/>
      <c r="H3" s="457"/>
      <c r="I3" s="463">
        <f>438*1.25</f>
        <v>547.5</v>
      </c>
      <c r="J3" s="463">
        <f>125*1.25</f>
        <v>156.25</v>
      </c>
    </row>
    <row r="4" ht="15.75" customHeight="1">
      <c r="A4" s="464"/>
      <c r="B4" s="465" t="s">
        <v>607</v>
      </c>
      <c r="C4" s="466">
        <v>5.0</v>
      </c>
      <c r="D4" s="466">
        <v>5.0</v>
      </c>
      <c r="E4" s="467">
        <f t="shared" ref="E4:E5" si="1">C4*D4*$I$3</f>
        <v>13687.5</v>
      </c>
      <c r="F4" s="468"/>
      <c r="G4" s="469" t="s">
        <v>608</v>
      </c>
      <c r="H4" s="444"/>
      <c r="I4" s="444"/>
    </row>
    <row r="5" ht="15.75" customHeight="1">
      <c r="A5" s="464"/>
      <c r="B5" s="465" t="s">
        <v>609</v>
      </c>
      <c r="C5" s="466">
        <v>2.0</v>
      </c>
      <c r="D5" s="466">
        <v>9.0</v>
      </c>
      <c r="E5" s="467">
        <f t="shared" si="1"/>
        <v>9855</v>
      </c>
      <c r="F5" s="468"/>
      <c r="G5" s="470" t="s">
        <v>610</v>
      </c>
      <c r="H5" s="444"/>
      <c r="I5" s="444"/>
    </row>
    <row r="6" ht="15.75" customHeight="1">
      <c r="A6" s="444"/>
      <c r="B6" s="471" t="s">
        <v>611</v>
      </c>
      <c r="C6" s="472"/>
      <c r="D6" s="472"/>
      <c r="E6" s="473">
        <f>SUM(E4:E5)</f>
        <v>23542.5</v>
      </c>
      <c r="F6" s="468"/>
      <c r="G6" s="470"/>
      <c r="H6" s="474"/>
      <c r="I6" s="474"/>
    </row>
    <row r="7" ht="15.75" customHeight="1">
      <c r="A7" s="464"/>
      <c r="B7" s="475"/>
      <c r="C7" s="444"/>
      <c r="D7" s="444"/>
      <c r="E7" s="460"/>
      <c r="F7" s="461"/>
      <c r="G7" s="476"/>
      <c r="H7" s="477"/>
      <c r="I7" s="477"/>
    </row>
    <row r="8" ht="15.75" customHeight="1">
      <c r="A8" s="464"/>
      <c r="B8" s="465" t="s">
        <v>612</v>
      </c>
      <c r="C8" s="478">
        <v>6.0</v>
      </c>
      <c r="D8" s="478">
        <v>6.0</v>
      </c>
      <c r="E8" s="467">
        <f>C8*D8*$I$3</f>
        <v>19710</v>
      </c>
      <c r="F8" s="468"/>
      <c r="G8" s="469" t="s">
        <v>613</v>
      </c>
      <c r="H8" s="477"/>
      <c r="I8" s="477"/>
    </row>
    <row r="9" ht="21.0" customHeight="1">
      <c r="A9" s="464"/>
      <c r="B9" s="479" t="s">
        <v>611</v>
      </c>
      <c r="C9" s="472"/>
      <c r="D9" s="472"/>
      <c r="E9" s="473">
        <f>SUM(E8)</f>
        <v>19710</v>
      </c>
      <c r="F9" s="468"/>
      <c r="G9" s="470"/>
      <c r="H9" s="477"/>
      <c r="I9" s="477"/>
    </row>
    <row r="10" ht="15.75" customHeight="1">
      <c r="A10" s="464"/>
      <c r="B10" s="475"/>
      <c r="C10" s="444"/>
      <c r="D10" s="444"/>
      <c r="E10" s="460"/>
      <c r="F10" s="461"/>
      <c r="G10" s="476"/>
      <c r="H10" s="444"/>
      <c r="I10" s="444"/>
    </row>
    <row r="11" ht="15.75" customHeight="1">
      <c r="A11" s="464"/>
      <c r="B11" s="465" t="s">
        <v>614</v>
      </c>
      <c r="C11" s="478">
        <v>9.0</v>
      </c>
      <c r="D11" s="478">
        <v>9.25</v>
      </c>
      <c r="E11" s="467">
        <f t="shared" ref="E11:E12" si="2">C11*D11*$I$3</f>
        <v>45579.375</v>
      </c>
      <c r="F11" s="468"/>
      <c r="G11" s="470" t="s">
        <v>615</v>
      </c>
      <c r="H11" s="444"/>
      <c r="I11" s="444"/>
    </row>
    <row r="12" ht="15.75" customHeight="1">
      <c r="A12" s="464"/>
      <c r="B12" s="465" t="s">
        <v>614</v>
      </c>
      <c r="C12" s="478">
        <v>6.0</v>
      </c>
      <c r="D12" s="478">
        <v>7.75</v>
      </c>
      <c r="E12" s="467">
        <f t="shared" si="2"/>
        <v>25458.75</v>
      </c>
      <c r="F12" s="468"/>
      <c r="G12" s="469" t="s">
        <v>616</v>
      </c>
      <c r="H12" s="444"/>
      <c r="I12" s="444"/>
    </row>
    <row r="13" ht="15.75" customHeight="1">
      <c r="A13" s="444"/>
      <c r="B13" s="479" t="s">
        <v>611</v>
      </c>
      <c r="C13" s="472"/>
      <c r="D13" s="472"/>
      <c r="E13" s="473">
        <f>SUM(E11:E12)</f>
        <v>71038.125</v>
      </c>
      <c r="F13" s="472"/>
      <c r="G13" s="480"/>
      <c r="H13" s="444"/>
      <c r="I13" s="444"/>
    </row>
    <row r="14" ht="15.75" customHeight="1">
      <c r="A14" s="444"/>
      <c r="B14" s="481"/>
      <c r="C14" s="444"/>
      <c r="D14" s="444"/>
      <c r="E14" s="460"/>
      <c r="F14" s="444"/>
      <c r="G14" s="462"/>
      <c r="H14" s="444"/>
      <c r="I14" s="444"/>
    </row>
    <row r="15" ht="15.75" customHeight="1">
      <c r="A15" s="464"/>
      <c r="B15" s="465" t="s">
        <v>617</v>
      </c>
      <c r="C15" s="466">
        <v>6.0</v>
      </c>
      <c r="D15" s="466">
        <v>6.0</v>
      </c>
      <c r="E15" s="467">
        <f>C15*D15*$I$3</f>
        <v>19710</v>
      </c>
      <c r="F15" s="468"/>
      <c r="G15" s="470" t="s">
        <v>618</v>
      </c>
      <c r="H15" s="444"/>
      <c r="I15" s="444"/>
    </row>
    <row r="16" ht="15.75" customHeight="1">
      <c r="A16" s="464"/>
      <c r="B16" s="479" t="s">
        <v>611</v>
      </c>
      <c r="C16" s="472"/>
      <c r="D16" s="472"/>
      <c r="E16" s="473">
        <f>SUM(E15)</f>
        <v>19710</v>
      </c>
      <c r="F16" s="468"/>
      <c r="G16" s="470"/>
      <c r="H16" s="444"/>
      <c r="I16" s="444"/>
    </row>
    <row r="17" ht="15.75" customHeight="1">
      <c r="A17" s="464"/>
      <c r="B17" s="475"/>
      <c r="C17" s="444"/>
      <c r="D17" s="444"/>
      <c r="E17" s="460"/>
      <c r="F17" s="461"/>
      <c r="G17" s="476"/>
      <c r="H17" s="444"/>
      <c r="I17" s="444"/>
    </row>
    <row r="18" ht="15.75" customHeight="1">
      <c r="A18" s="464"/>
      <c r="B18" s="465" t="s">
        <v>619</v>
      </c>
      <c r="C18" s="466">
        <v>6.0</v>
      </c>
      <c r="D18" s="466">
        <v>6.0</v>
      </c>
      <c r="E18" s="467">
        <f>C18*D18*$I$3</f>
        <v>19710</v>
      </c>
      <c r="F18" s="468"/>
      <c r="G18" s="470" t="s">
        <v>618</v>
      </c>
      <c r="H18" s="444"/>
      <c r="I18" s="444"/>
    </row>
    <row r="19" ht="15.75" customHeight="1">
      <c r="A19" s="464"/>
      <c r="B19" s="479" t="s">
        <v>611</v>
      </c>
      <c r="C19" s="472"/>
      <c r="D19" s="472"/>
      <c r="E19" s="473">
        <f>SUM(E18)</f>
        <v>19710</v>
      </c>
      <c r="F19" s="468"/>
      <c r="G19" s="470"/>
      <c r="H19" s="444"/>
      <c r="I19" s="444"/>
    </row>
    <row r="20" ht="15.75" customHeight="1">
      <c r="A20" s="464"/>
      <c r="B20" s="475"/>
      <c r="C20" s="444"/>
      <c r="D20" s="444"/>
      <c r="E20" s="460"/>
      <c r="F20" s="461"/>
      <c r="G20" s="476"/>
      <c r="H20" s="444"/>
      <c r="I20" s="444"/>
    </row>
    <row r="21" ht="15.75" customHeight="1">
      <c r="A21" s="464"/>
      <c r="B21" s="465" t="s">
        <v>415</v>
      </c>
      <c r="C21" s="466">
        <v>7.0</v>
      </c>
      <c r="D21" s="466">
        <v>6.0</v>
      </c>
      <c r="E21" s="467">
        <f>C21*D21*$I$3</f>
        <v>22995</v>
      </c>
      <c r="F21" s="468"/>
      <c r="G21" s="470" t="s">
        <v>620</v>
      </c>
      <c r="H21" s="444"/>
      <c r="I21" s="444"/>
    </row>
    <row r="22" ht="15.75" customHeight="1">
      <c r="A22" s="464"/>
      <c r="B22" s="479" t="s">
        <v>611</v>
      </c>
      <c r="C22" s="472"/>
      <c r="D22" s="472"/>
      <c r="E22" s="473">
        <f>SUM(E21)</f>
        <v>22995</v>
      </c>
      <c r="F22" s="468"/>
      <c r="G22" s="470"/>
      <c r="H22" s="444"/>
      <c r="I22" s="444"/>
    </row>
    <row r="23" ht="15.75" customHeight="1">
      <c r="A23" s="464"/>
      <c r="B23" s="475"/>
      <c r="C23" s="444"/>
      <c r="D23" s="444"/>
      <c r="E23" s="460"/>
      <c r="F23" s="461"/>
      <c r="G23" s="476"/>
      <c r="H23" s="444"/>
      <c r="I23" s="444"/>
    </row>
    <row r="24" ht="15.75" customHeight="1">
      <c r="A24" s="464"/>
      <c r="B24" s="465" t="s">
        <v>621</v>
      </c>
      <c r="C24" s="466">
        <v>5.0</v>
      </c>
      <c r="D24" s="466">
        <v>5.5</v>
      </c>
      <c r="E24" s="467">
        <f>C24*D24*$I$3</f>
        <v>15056.25</v>
      </c>
      <c r="F24" s="468"/>
      <c r="G24" s="470" t="s">
        <v>622</v>
      </c>
      <c r="H24" s="444"/>
      <c r="I24" s="444"/>
    </row>
    <row r="25" ht="15.75" customHeight="1">
      <c r="A25" s="464"/>
      <c r="B25" s="479" t="s">
        <v>611</v>
      </c>
      <c r="C25" s="472"/>
      <c r="D25" s="472"/>
      <c r="E25" s="473">
        <f>SUM(E24)</f>
        <v>15056.25</v>
      </c>
      <c r="F25" s="468"/>
      <c r="G25" s="470"/>
      <c r="H25" s="444"/>
      <c r="I25" s="444"/>
    </row>
    <row r="26" ht="15.75" customHeight="1">
      <c r="A26" s="464"/>
      <c r="B26" s="475"/>
      <c r="C26" s="444"/>
      <c r="D26" s="444"/>
      <c r="E26" s="460"/>
      <c r="F26" s="461"/>
      <c r="G26" s="476"/>
      <c r="H26" s="444"/>
      <c r="I26" s="444"/>
    </row>
    <row r="27" ht="15.75" customHeight="1">
      <c r="A27" s="464"/>
      <c r="B27" s="482" t="s">
        <v>623</v>
      </c>
      <c r="C27" s="478">
        <v>2.0</v>
      </c>
      <c r="D27" s="478">
        <v>4.0</v>
      </c>
      <c r="E27" s="467">
        <f t="shared" ref="E27:E28" si="3">C27*D27*$I$3</f>
        <v>4380</v>
      </c>
      <c r="F27" s="468"/>
      <c r="G27" s="469" t="s">
        <v>624</v>
      </c>
      <c r="H27" s="444"/>
      <c r="I27" s="444"/>
    </row>
    <row r="28" ht="15.75" customHeight="1">
      <c r="A28" s="464"/>
      <c r="B28" s="482" t="s">
        <v>625</v>
      </c>
      <c r="C28" s="483">
        <v>7.0</v>
      </c>
      <c r="D28" s="483">
        <v>5.0</v>
      </c>
      <c r="E28" s="467">
        <f t="shared" si="3"/>
        <v>19162.5</v>
      </c>
      <c r="F28" s="468"/>
      <c r="G28" s="469" t="s">
        <v>626</v>
      </c>
      <c r="H28" s="444"/>
      <c r="I28" s="444"/>
    </row>
    <row r="29" ht="15.75" customHeight="1">
      <c r="A29" s="464"/>
      <c r="B29" s="484" t="s">
        <v>627</v>
      </c>
      <c r="C29" s="483"/>
      <c r="D29" s="483"/>
      <c r="E29" s="473">
        <f>SUM(E27:E28)</f>
        <v>23542.5</v>
      </c>
      <c r="F29" s="468"/>
      <c r="G29" s="469"/>
      <c r="H29" s="444"/>
      <c r="I29" s="444"/>
    </row>
    <row r="30" ht="15.75" customHeight="1">
      <c r="A30" s="464"/>
      <c r="B30" s="485"/>
      <c r="C30" s="486"/>
      <c r="D30" s="486"/>
      <c r="E30" s="487"/>
      <c r="F30" s="461"/>
      <c r="G30" s="488"/>
      <c r="H30" s="444"/>
      <c r="I30" s="444"/>
    </row>
    <row r="31" ht="15.75" customHeight="1">
      <c r="A31" s="464"/>
      <c r="B31" s="482" t="s">
        <v>628</v>
      </c>
      <c r="C31" s="483">
        <v>3.0</v>
      </c>
      <c r="D31" s="483">
        <v>4.0</v>
      </c>
      <c r="E31" s="467">
        <f>C31*D31*$I$3</f>
        <v>6570</v>
      </c>
      <c r="F31" s="468"/>
      <c r="G31" s="469" t="s">
        <v>629</v>
      </c>
      <c r="H31" s="444"/>
      <c r="I31" s="444"/>
    </row>
    <row r="32" ht="15.75" customHeight="1">
      <c r="A32" s="464"/>
      <c r="B32" s="484" t="s">
        <v>627</v>
      </c>
      <c r="C32" s="472"/>
      <c r="D32" s="472"/>
      <c r="E32" s="473">
        <f>SUM(E31)</f>
        <v>6570</v>
      </c>
      <c r="F32" s="468"/>
      <c r="G32" s="470"/>
      <c r="H32" s="444"/>
      <c r="I32" s="444"/>
    </row>
    <row r="33" ht="15.75" customHeight="1">
      <c r="A33" s="464"/>
      <c r="B33" s="475"/>
      <c r="C33" s="444"/>
      <c r="D33" s="444"/>
      <c r="E33" s="460"/>
      <c r="F33" s="461"/>
      <c r="G33" s="476"/>
      <c r="H33" s="444"/>
      <c r="I33" s="444"/>
    </row>
    <row r="34" ht="15.75" customHeight="1">
      <c r="A34" s="464"/>
      <c r="B34" s="465" t="s">
        <v>408</v>
      </c>
      <c r="C34" s="466">
        <v>2.0</v>
      </c>
      <c r="D34" s="478">
        <v>10.0</v>
      </c>
      <c r="E34" s="467">
        <f t="shared" ref="E34:E35" si="4">C34*D34*$I$3</f>
        <v>10950</v>
      </c>
      <c r="F34" s="468"/>
      <c r="G34" s="470" t="s">
        <v>610</v>
      </c>
      <c r="H34" s="444"/>
      <c r="I34" s="444"/>
    </row>
    <row r="35" ht="15.75" customHeight="1">
      <c r="A35" s="464"/>
      <c r="B35" s="465" t="s">
        <v>463</v>
      </c>
      <c r="C35" s="478">
        <v>6.0</v>
      </c>
      <c r="D35" s="466">
        <v>6.0</v>
      </c>
      <c r="E35" s="467">
        <f t="shared" si="4"/>
        <v>19710</v>
      </c>
      <c r="F35" s="468"/>
      <c r="G35" s="469" t="s">
        <v>618</v>
      </c>
      <c r="H35" s="444"/>
      <c r="I35" s="444"/>
    </row>
    <row r="36" ht="15.75" customHeight="1">
      <c r="A36" s="444"/>
      <c r="B36" s="479" t="s">
        <v>611</v>
      </c>
      <c r="C36" s="472"/>
      <c r="D36" s="472"/>
      <c r="E36" s="473">
        <f>SUM(E34:E35)</f>
        <v>30660</v>
      </c>
      <c r="F36" s="468"/>
      <c r="G36" s="470"/>
      <c r="H36" s="444"/>
      <c r="I36" s="444"/>
    </row>
    <row r="37" ht="15.75" customHeight="1">
      <c r="A37" s="464"/>
      <c r="B37" s="475"/>
      <c r="C37" s="444"/>
      <c r="D37" s="444"/>
      <c r="E37" s="460"/>
      <c r="F37" s="461"/>
      <c r="G37" s="476"/>
      <c r="H37" s="444"/>
      <c r="I37" s="444"/>
    </row>
    <row r="38" ht="15.75" customHeight="1">
      <c r="A38" s="464"/>
      <c r="B38" s="465" t="s">
        <v>382</v>
      </c>
      <c r="C38" s="466">
        <v>2.0</v>
      </c>
      <c r="D38" s="478">
        <v>10.0</v>
      </c>
      <c r="E38" s="467">
        <f t="shared" ref="E38:E40" si="5">C38*D38*$I$3</f>
        <v>10950</v>
      </c>
      <c r="F38" s="468"/>
      <c r="G38" s="470" t="s">
        <v>630</v>
      </c>
      <c r="H38" s="444"/>
      <c r="I38" s="444"/>
    </row>
    <row r="39" ht="15.75" customHeight="1">
      <c r="A39" s="464"/>
      <c r="B39" s="465" t="s">
        <v>631</v>
      </c>
      <c r="C39" s="478">
        <v>6.0</v>
      </c>
      <c r="D39" s="478">
        <v>6.0</v>
      </c>
      <c r="E39" s="467">
        <f t="shared" si="5"/>
        <v>19710</v>
      </c>
      <c r="F39" s="468"/>
      <c r="G39" s="469" t="s">
        <v>608</v>
      </c>
      <c r="H39" s="444"/>
      <c r="I39" s="444"/>
    </row>
    <row r="40" ht="15.75" customHeight="1">
      <c r="A40" s="444"/>
      <c r="B40" s="482" t="s">
        <v>632</v>
      </c>
      <c r="C40" s="489">
        <v>3.0</v>
      </c>
      <c r="D40" s="489">
        <v>4.0</v>
      </c>
      <c r="E40" s="467">
        <f t="shared" si="5"/>
        <v>6570</v>
      </c>
      <c r="F40" s="468"/>
      <c r="G40" s="469" t="s">
        <v>629</v>
      </c>
      <c r="H40" s="444"/>
      <c r="I40" s="444"/>
    </row>
    <row r="41" ht="15.75" customHeight="1">
      <c r="A41" s="444"/>
      <c r="B41" s="479" t="s">
        <v>611</v>
      </c>
      <c r="C41" s="472"/>
      <c r="D41" s="472"/>
      <c r="E41" s="473">
        <f>SUM(E38:E40)</f>
        <v>37230</v>
      </c>
      <c r="F41" s="468"/>
      <c r="G41" s="470"/>
      <c r="H41" s="444"/>
      <c r="I41" s="444"/>
    </row>
    <row r="42" ht="15.75" customHeight="1">
      <c r="A42" s="464"/>
      <c r="B42" s="475"/>
      <c r="C42" s="444"/>
      <c r="D42" s="444"/>
      <c r="E42" s="460"/>
      <c r="F42" s="461"/>
      <c r="G42" s="476"/>
      <c r="H42" s="444"/>
      <c r="I42" s="444"/>
    </row>
    <row r="43" ht="15.75" customHeight="1">
      <c r="A43" s="464"/>
      <c r="B43" s="490" t="s">
        <v>633</v>
      </c>
      <c r="C43" s="491" t="s">
        <v>634</v>
      </c>
      <c r="D43" s="491" t="s">
        <v>634</v>
      </c>
      <c r="E43" s="492"/>
      <c r="F43" s="493"/>
      <c r="G43" s="494" t="s">
        <v>635</v>
      </c>
      <c r="H43" s="444"/>
      <c r="I43" s="444"/>
    </row>
    <row r="44" ht="15.75" customHeight="1">
      <c r="A44" s="444"/>
      <c r="B44" s="495" t="s">
        <v>611</v>
      </c>
      <c r="C44" s="496"/>
      <c r="D44" s="496"/>
      <c r="E44" s="497" t="str">
        <f>E43</f>
        <v/>
      </c>
      <c r="F44" s="493"/>
      <c r="G44" s="494"/>
      <c r="H44" s="444"/>
      <c r="I44" s="444"/>
    </row>
    <row r="45" ht="15.75" customHeight="1">
      <c r="A45" s="444"/>
      <c r="B45" s="481"/>
      <c r="C45" s="444"/>
      <c r="D45" s="444"/>
      <c r="E45" s="460"/>
      <c r="F45" s="461"/>
      <c r="G45" s="476"/>
      <c r="H45" s="444"/>
      <c r="I45" s="444"/>
    </row>
    <row r="46" ht="15.75" customHeight="1">
      <c r="A46" s="464"/>
      <c r="B46" s="465" t="s">
        <v>469</v>
      </c>
      <c r="C46" s="478">
        <v>7.0</v>
      </c>
      <c r="D46" s="478">
        <v>6.0</v>
      </c>
      <c r="E46" s="467">
        <f>C46*D46*$I$3</f>
        <v>22995</v>
      </c>
      <c r="F46" s="468"/>
      <c r="G46" s="469" t="s">
        <v>620</v>
      </c>
      <c r="H46" s="444"/>
      <c r="I46" s="444"/>
    </row>
    <row r="47" ht="15.75" customHeight="1">
      <c r="A47" s="444"/>
      <c r="B47" s="479" t="s">
        <v>611</v>
      </c>
      <c r="C47" s="472"/>
      <c r="D47" s="472"/>
      <c r="E47" s="473">
        <f>SUM(E46)</f>
        <v>22995</v>
      </c>
      <c r="F47" s="468"/>
      <c r="G47" s="470"/>
      <c r="H47" s="444"/>
      <c r="I47" s="444"/>
    </row>
    <row r="48" ht="15.75" customHeight="1">
      <c r="A48" s="444"/>
      <c r="B48" s="481"/>
      <c r="C48" s="444"/>
      <c r="D48" s="444"/>
      <c r="E48" s="460"/>
      <c r="F48" s="461"/>
      <c r="G48" s="476"/>
      <c r="H48" s="444"/>
      <c r="I48" s="444"/>
    </row>
    <row r="49" ht="15.75" customHeight="1">
      <c r="A49" s="464"/>
      <c r="B49" s="465" t="s">
        <v>636</v>
      </c>
      <c r="C49" s="478">
        <v>8.0</v>
      </c>
      <c r="D49" s="478">
        <v>6.0</v>
      </c>
      <c r="E49" s="467">
        <f>C49*D49*$I$3</f>
        <v>26280</v>
      </c>
      <c r="F49" s="468"/>
      <c r="G49" s="469" t="s">
        <v>637</v>
      </c>
      <c r="H49" s="444"/>
      <c r="I49" s="444"/>
    </row>
    <row r="50" ht="15.75" customHeight="1">
      <c r="A50" s="464"/>
      <c r="B50" s="479" t="s">
        <v>611</v>
      </c>
      <c r="C50" s="472"/>
      <c r="D50" s="472"/>
      <c r="E50" s="473">
        <f>SUM(E49)</f>
        <v>26280</v>
      </c>
      <c r="F50" s="468"/>
      <c r="G50" s="470"/>
      <c r="H50" s="444"/>
      <c r="I50" s="444"/>
    </row>
    <row r="51" ht="15.75" customHeight="1">
      <c r="A51" s="464"/>
      <c r="B51" s="498"/>
      <c r="C51" s="499"/>
      <c r="D51" s="499"/>
      <c r="E51" s="487"/>
      <c r="F51" s="461"/>
      <c r="G51" s="476"/>
      <c r="H51" s="444"/>
      <c r="I51" s="444"/>
    </row>
    <row r="52" ht="15.75" customHeight="1">
      <c r="A52" s="464"/>
      <c r="B52" s="465" t="s">
        <v>431</v>
      </c>
      <c r="C52" s="466">
        <v>7.0</v>
      </c>
      <c r="D52" s="466">
        <v>6.0</v>
      </c>
      <c r="E52" s="467">
        <f>C52*D52*$I$3</f>
        <v>22995</v>
      </c>
      <c r="F52" s="468"/>
      <c r="G52" s="470" t="s">
        <v>620</v>
      </c>
      <c r="H52" s="444"/>
      <c r="I52" s="444"/>
    </row>
    <row r="53" ht="15.75" customHeight="1">
      <c r="A53" s="444"/>
      <c r="B53" s="479" t="s">
        <v>611</v>
      </c>
      <c r="C53" s="472"/>
      <c r="D53" s="472"/>
      <c r="E53" s="473">
        <f>SUM(E52)</f>
        <v>22995</v>
      </c>
      <c r="F53" s="468"/>
      <c r="G53" s="470"/>
      <c r="H53" s="444"/>
      <c r="I53" s="444"/>
    </row>
    <row r="54" ht="15.75" customHeight="1">
      <c r="A54" s="464"/>
      <c r="B54" s="498"/>
      <c r="C54" s="499"/>
      <c r="D54" s="499"/>
      <c r="E54" s="487"/>
      <c r="F54" s="461"/>
      <c r="G54" s="476"/>
      <c r="H54" s="444"/>
      <c r="I54" s="444"/>
    </row>
    <row r="55" ht="15.75" customHeight="1">
      <c r="A55" s="464"/>
      <c r="B55" s="465" t="s">
        <v>471</v>
      </c>
      <c r="C55" s="478">
        <v>7.0</v>
      </c>
      <c r="D55" s="466">
        <v>6.0</v>
      </c>
      <c r="E55" s="467">
        <f>C55*D55*$I$3</f>
        <v>22995</v>
      </c>
      <c r="F55" s="468"/>
      <c r="G55" s="469" t="s">
        <v>620</v>
      </c>
      <c r="H55" s="444"/>
      <c r="I55" s="444"/>
    </row>
    <row r="56" ht="15.75" customHeight="1">
      <c r="A56" s="444"/>
      <c r="B56" s="479" t="s">
        <v>611</v>
      </c>
      <c r="C56" s="472"/>
      <c r="D56" s="472"/>
      <c r="E56" s="473">
        <f>SUM(E55)</f>
        <v>22995</v>
      </c>
      <c r="F56" s="468"/>
      <c r="G56" s="470"/>
      <c r="H56" s="444"/>
      <c r="I56" s="444"/>
    </row>
    <row r="57" ht="15.75" customHeight="1">
      <c r="A57" s="444"/>
      <c r="B57" s="475"/>
      <c r="C57" s="444"/>
      <c r="D57" s="444"/>
      <c r="E57" s="500"/>
      <c r="F57" s="461"/>
      <c r="G57" s="476"/>
      <c r="H57" s="444"/>
      <c r="I57" s="444"/>
    </row>
    <row r="58" ht="15.75" customHeight="1">
      <c r="A58" s="444"/>
      <c r="B58" s="482" t="s">
        <v>442</v>
      </c>
      <c r="C58" s="478">
        <f>2*3</f>
        <v>6</v>
      </c>
      <c r="D58" s="478">
        <v>3.0</v>
      </c>
      <c r="E58" s="467">
        <f>C58*D58*$I$3</f>
        <v>9855</v>
      </c>
      <c r="F58" s="468"/>
      <c r="G58" s="469" t="s">
        <v>638</v>
      </c>
      <c r="H58" s="444"/>
      <c r="I58" s="444"/>
    </row>
    <row r="59" ht="15.75" customHeight="1">
      <c r="A59" s="444"/>
      <c r="B59" s="484" t="s">
        <v>611</v>
      </c>
      <c r="C59" s="472"/>
      <c r="D59" s="472"/>
      <c r="E59" s="473">
        <f>SUM(E58)</f>
        <v>9855</v>
      </c>
      <c r="F59" s="468"/>
      <c r="G59" s="469" t="s">
        <v>639</v>
      </c>
      <c r="H59" s="444"/>
      <c r="I59" s="444"/>
    </row>
    <row r="60" ht="15.75" customHeight="1">
      <c r="A60" s="444"/>
      <c r="B60" s="475"/>
      <c r="C60" s="444"/>
      <c r="D60" s="444"/>
      <c r="E60" s="500"/>
      <c r="F60" s="461"/>
      <c r="G60" s="476"/>
      <c r="H60" s="444"/>
      <c r="I60" s="444"/>
    </row>
    <row r="61" ht="15.75" customHeight="1">
      <c r="A61" s="444"/>
      <c r="B61" s="465" t="s">
        <v>607</v>
      </c>
      <c r="C61" s="466">
        <v>5.0</v>
      </c>
      <c r="D61" s="466">
        <v>5.0</v>
      </c>
      <c r="E61" s="467">
        <f t="shared" ref="E61:E62" si="6">C61*D61*$I$3</f>
        <v>13687.5</v>
      </c>
      <c r="F61" s="468"/>
      <c r="G61" s="469" t="s">
        <v>608</v>
      </c>
      <c r="H61" s="444"/>
      <c r="I61" s="444"/>
    </row>
    <row r="62" ht="15.75" customHeight="1">
      <c r="A62" s="444"/>
      <c r="B62" s="465" t="s">
        <v>609</v>
      </c>
      <c r="C62" s="466">
        <v>2.0</v>
      </c>
      <c r="D62" s="466">
        <v>9.0</v>
      </c>
      <c r="E62" s="467">
        <f t="shared" si="6"/>
        <v>9855</v>
      </c>
      <c r="F62" s="468"/>
      <c r="G62" s="470" t="s">
        <v>610</v>
      </c>
      <c r="H62" s="444"/>
      <c r="I62" s="444"/>
    </row>
    <row r="63" ht="15.75" customHeight="1">
      <c r="A63" s="444"/>
      <c r="B63" s="471" t="s">
        <v>611</v>
      </c>
      <c r="C63" s="472"/>
      <c r="D63" s="472"/>
      <c r="E63" s="473">
        <f>SUM(E61:E62)</f>
        <v>23542.5</v>
      </c>
      <c r="F63" s="468"/>
      <c r="G63" s="470"/>
      <c r="H63" s="444"/>
      <c r="I63" s="444"/>
    </row>
    <row r="64" ht="15.75" customHeight="1">
      <c r="A64" s="501"/>
      <c r="B64" s="502"/>
      <c r="C64" s="444"/>
      <c r="D64" s="444"/>
      <c r="E64" s="503"/>
      <c r="F64" s="461"/>
      <c r="G64" s="462"/>
      <c r="H64" s="444"/>
      <c r="I64" s="444"/>
    </row>
    <row r="65" ht="15.75" customHeight="1">
      <c r="A65" s="501"/>
      <c r="B65" s="504"/>
      <c r="C65" s="505"/>
      <c r="D65" s="486"/>
      <c r="E65" s="503">
        <f>C65*D65*I3</f>
        <v>0</v>
      </c>
      <c r="F65" s="461"/>
      <c r="G65" s="506" t="s">
        <v>640</v>
      </c>
      <c r="H65" s="444"/>
      <c r="I65" s="444"/>
    </row>
    <row r="66" ht="15.75" customHeight="1">
      <c r="A66" s="501"/>
      <c r="B66" s="502"/>
      <c r="C66" s="444"/>
      <c r="D66" s="444"/>
      <c r="E66" s="503"/>
      <c r="F66" s="461"/>
      <c r="G66" s="462"/>
      <c r="H66" s="444"/>
      <c r="I66" s="444"/>
    </row>
    <row r="67" ht="15.75" customHeight="1">
      <c r="A67" s="501"/>
      <c r="B67" s="502"/>
      <c r="C67" s="444"/>
      <c r="D67" s="444"/>
      <c r="E67" s="503"/>
      <c r="F67" s="461"/>
      <c r="G67" s="462"/>
      <c r="H67" s="444"/>
      <c r="I67" s="444"/>
    </row>
    <row r="68" ht="15.75" customHeight="1">
      <c r="A68" s="501"/>
      <c r="B68" s="502"/>
      <c r="C68" s="444"/>
      <c r="D68" s="444"/>
      <c r="E68" s="503"/>
      <c r="F68" s="461"/>
      <c r="G68" s="462"/>
      <c r="H68" s="444"/>
      <c r="I68" s="444"/>
    </row>
    <row r="69" ht="15.75" customHeight="1">
      <c r="A69" s="501"/>
      <c r="B69" s="507" t="s">
        <v>641</v>
      </c>
      <c r="C69" s="508"/>
      <c r="D69" s="508"/>
      <c r="E69" s="509">
        <f>SUM(E6+E50+E13+E16+E296+E19+E25+E22+E36+E41+E47+E56+E53+E9+E44+E32+E59+E63+E29+E65)</f>
        <v>418426.875</v>
      </c>
      <c r="F69" s="510"/>
      <c r="G69" s="511"/>
      <c r="H69" s="444"/>
      <c r="I69" s="444"/>
    </row>
    <row r="70" ht="15.75" customHeight="1">
      <c r="A70" s="444"/>
      <c r="B70" s="444"/>
      <c r="C70" s="444"/>
      <c r="D70" s="444"/>
      <c r="E70" s="460"/>
      <c r="F70" s="444"/>
      <c r="G70" s="444"/>
      <c r="H70" s="444"/>
      <c r="I70" s="444"/>
    </row>
    <row r="71" ht="15.75" customHeight="1">
      <c r="A71" s="444"/>
      <c r="B71" s="444"/>
      <c r="C71" s="444"/>
      <c r="D71" s="444"/>
      <c r="E71" s="460"/>
      <c r="F71" s="444"/>
      <c r="G71" s="444"/>
      <c r="H71" s="444"/>
      <c r="I71" s="444"/>
    </row>
    <row r="72" ht="15.75" customHeight="1">
      <c r="A72" s="444"/>
      <c r="B72" s="444"/>
      <c r="C72" s="444"/>
      <c r="D72" s="444"/>
      <c r="E72" s="460"/>
      <c r="F72" s="444"/>
      <c r="G72" s="444"/>
      <c r="H72" s="444"/>
      <c r="I72" s="444"/>
    </row>
    <row r="73" ht="15.75" customHeight="1">
      <c r="A73" s="444"/>
      <c r="B73" s="444"/>
      <c r="C73" s="444"/>
      <c r="D73" s="444"/>
      <c r="E73" s="460"/>
      <c r="F73" s="444"/>
      <c r="G73" s="444"/>
      <c r="H73" s="444"/>
      <c r="I73" s="444"/>
    </row>
    <row r="74" ht="15.75" customHeight="1">
      <c r="A74" s="444"/>
      <c r="B74" s="444"/>
      <c r="C74" s="444"/>
      <c r="D74" s="444"/>
      <c r="E74" s="460"/>
      <c r="F74" s="444"/>
      <c r="G74" s="444"/>
      <c r="H74" s="444"/>
      <c r="I74" s="444"/>
    </row>
    <row r="75" ht="15.75" customHeight="1">
      <c r="A75" s="444"/>
      <c r="B75" s="444"/>
      <c r="C75" s="444"/>
      <c r="D75" s="444"/>
      <c r="E75" s="460"/>
      <c r="F75" s="444"/>
      <c r="G75" s="444"/>
      <c r="H75" s="444"/>
      <c r="I75" s="444"/>
    </row>
    <row r="76" ht="15.75" customHeight="1">
      <c r="A76" s="444"/>
      <c r="B76" s="444"/>
      <c r="C76" s="444"/>
      <c r="D76" s="444"/>
      <c r="E76" s="460"/>
      <c r="F76" s="444"/>
      <c r="G76" s="444"/>
      <c r="H76" s="444"/>
      <c r="I76" s="444"/>
    </row>
    <row r="77" ht="15.75" customHeight="1">
      <c r="A77" s="444"/>
      <c r="B77" s="444"/>
      <c r="C77" s="444"/>
      <c r="D77" s="444"/>
      <c r="E77" s="460"/>
      <c r="F77" s="444"/>
      <c r="G77" s="444"/>
      <c r="H77" s="444"/>
      <c r="I77" s="444"/>
    </row>
    <row r="78" ht="15.75" customHeight="1">
      <c r="A78" s="444"/>
      <c r="B78" s="444"/>
      <c r="C78" s="444"/>
      <c r="D78" s="444"/>
      <c r="E78" s="460"/>
      <c r="F78" s="444"/>
      <c r="G78" s="444"/>
      <c r="H78" s="444"/>
      <c r="I78" s="444"/>
    </row>
    <row r="79" ht="15.75" customHeight="1">
      <c r="A79" s="444"/>
      <c r="B79" s="444"/>
      <c r="C79" s="444"/>
      <c r="D79" s="444"/>
      <c r="E79" s="460"/>
      <c r="F79" s="444"/>
      <c r="G79" s="444"/>
      <c r="H79" s="444"/>
      <c r="I79" s="444"/>
    </row>
    <row r="80" ht="15.75" customHeight="1">
      <c r="A80" s="444"/>
      <c r="B80" s="444"/>
      <c r="C80" s="444"/>
      <c r="D80" s="444"/>
      <c r="E80" s="460"/>
      <c r="F80" s="444"/>
      <c r="G80" s="444"/>
      <c r="H80" s="444"/>
      <c r="I80" s="444"/>
    </row>
    <row r="81" ht="15.75" customHeight="1">
      <c r="A81" s="444"/>
      <c r="B81" s="444"/>
      <c r="C81" s="444"/>
      <c r="D81" s="444"/>
      <c r="E81" s="460"/>
      <c r="F81" s="444"/>
      <c r="G81" s="444"/>
      <c r="H81" s="444"/>
      <c r="I81" s="444"/>
    </row>
    <row r="82" ht="15.75" customHeight="1">
      <c r="A82" s="444"/>
      <c r="B82" s="444"/>
      <c r="C82" s="444"/>
      <c r="D82" s="444"/>
      <c r="E82" s="460"/>
      <c r="F82" s="444"/>
      <c r="G82" s="444"/>
      <c r="H82" s="444"/>
      <c r="I82" s="444"/>
    </row>
    <row r="83" ht="15.75" customHeight="1">
      <c r="A83" s="444"/>
      <c r="B83" s="444"/>
      <c r="C83" s="444"/>
      <c r="D83" s="444"/>
      <c r="E83" s="460"/>
      <c r="F83" s="444"/>
      <c r="G83" s="444"/>
      <c r="H83" s="444"/>
      <c r="I83" s="444"/>
    </row>
    <row r="84" ht="15.75" customHeight="1">
      <c r="A84" s="444"/>
      <c r="B84" s="444"/>
      <c r="C84" s="444"/>
      <c r="D84" s="444"/>
      <c r="E84" s="460"/>
      <c r="F84" s="444"/>
      <c r="G84" s="444"/>
      <c r="H84" s="444"/>
      <c r="I84" s="444"/>
    </row>
    <row r="85" ht="15.75" customHeight="1">
      <c r="A85" s="444"/>
      <c r="B85" s="444"/>
      <c r="C85" s="444"/>
      <c r="D85" s="444"/>
      <c r="E85" s="460"/>
      <c r="F85" s="444"/>
      <c r="G85" s="444"/>
      <c r="H85" s="444"/>
      <c r="I85" s="444"/>
    </row>
    <row r="86" ht="15.75" customHeight="1">
      <c r="A86" s="444"/>
      <c r="B86" s="444"/>
      <c r="C86" s="444"/>
      <c r="D86" s="444"/>
      <c r="E86" s="460"/>
      <c r="F86" s="444"/>
      <c r="G86" s="444"/>
      <c r="H86" s="444"/>
      <c r="I86" s="444"/>
    </row>
    <row r="87" ht="15.75" customHeight="1">
      <c r="A87" s="444"/>
      <c r="B87" s="444"/>
      <c r="C87" s="444"/>
      <c r="D87" s="444"/>
      <c r="E87" s="460"/>
      <c r="F87" s="444"/>
      <c r="G87" s="444"/>
      <c r="H87" s="444"/>
      <c r="I87" s="444"/>
    </row>
    <row r="88" ht="15.75" customHeight="1">
      <c r="A88" s="444"/>
      <c r="B88" s="444"/>
      <c r="C88" s="444"/>
      <c r="D88" s="444"/>
      <c r="E88" s="460"/>
      <c r="F88" s="444"/>
      <c r="G88" s="444"/>
      <c r="H88" s="444"/>
      <c r="I88" s="444"/>
    </row>
    <row r="89" ht="15.75" customHeight="1">
      <c r="A89" s="444"/>
      <c r="B89" s="444"/>
      <c r="C89" s="444"/>
      <c r="D89" s="444"/>
      <c r="E89" s="460"/>
      <c r="F89" s="444"/>
      <c r="G89" s="444"/>
      <c r="H89" s="444"/>
      <c r="I89" s="444"/>
    </row>
    <row r="90" ht="15.75" customHeight="1">
      <c r="A90" s="444"/>
      <c r="B90" s="444"/>
      <c r="C90" s="444"/>
      <c r="D90" s="444"/>
      <c r="E90" s="460"/>
      <c r="F90" s="444"/>
      <c r="G90" s="444"/>
      <c r="H90" s="444"/>
      <c r="I90" s="444"/>
    </row>
    <row r="91" ht="15.75" customHeight="1">
      <c r="A91" s="444"/>
      <c r="B91" s="444"/>
      <c r="C91" s="444"/>
      <c r="D91" s="444"/>
      <c r="E91" s="460"/>
      <c r="F91" s="444"/>
      <c r="G91" s="444"/>
      <c r="H91" s="444"/>
      <c r="I91" s="444"/>
    </row>
    <row r="92" ht="15.75" customHeight="1">
      <c r="A92" s="444"/>
      <c r="B92" s="444"/>
      <c r="C92" s="444"/>
      <c r="D92" s="444"/>
      <c r="E92" s="460"/>
      <c r="F92" s="444"/>
      <c r="G92" s="444"/>
      <c r="H92" s="444"/>
      <c r="I92" s="444"/>
    </row>
    <row r="93" ht="15.75" customHeight="1">
      <c r="A93" s="444"/>
      <c r="B93" s="444"/>
      <c r="C93" s="444"/>
      <c r="D93" s="444"/>
      <c r="E93" s="460"/>
      <c r="F93" s="444"/>
      <c r="G93" s="444"/>
      <c r="H93" s="444"/>
      <c r="I93" s="444"/>
    </row>
    <row r="94" ht="15.75" customHeight="1">
      <c r="A94" s="444"/>
      <c r="B94" s="444"/>
      <c r="C94" s="444"/>
      <c r="D94" s="444"/>
      <c r="E94" s="460"/>
      <c r="F94" s="444"/>
      <c r="G94" s="444"/>
      <c r="H94" s="444"/>
      <c r="I94" s="444"/>
    </row>
    <row r="95" ht="15.75" customHeight="1">
      <c r="A95" s="444"/>
      <c r="B95" s="444"/>
      <c r="C95" s="444"/>
      <c r="D95" s="444"/>
      <c r="E95" s="460"/>
      <c r="F95" s="444"/>
      <c r="G95" s="444"/>
      <c r="H95" s="444"/>
      <c r="I95" s="444"/>
    </row>
    <row r="96" ht="15.75" customHeight="1">
      <c r="A96" s="444"/>
      <c r="B96" s="444"/>
      <c r="C96" s="444"/>
      <c r="D96" s="444"/>
      <c r="E96" s="460"/>
      <c r="F96" s="444"/>
      <c r="G96" s="444"/>
      <c r="H96" s="444"/>
      <c r="I96" s="444"/>
    </row>
    <row r="97" ht="15.75" customHeight="1">
      <c r="A97" s="444"/>
      <c r="B97" s="444"/>
      <c r="C97" s="444"/>
      <c r="D97" s="444"/>
      <c r="E97" s="460"/>
      <c r="F97" s="444"/>
      <c r="G97" s="444"/>
      <c r="H97" s="444"/>
      <c r="I97" s="444"/>
    </row>
    <row r="98" ht="15.75" customHeight="1">
      <c r="A98" s="444"/>
      <c r="B98" s="444"/>
      <c r="C98" s="444"/>
      <c r="D98" s="444"/>
      <c r="E98" s="460"/>
      <c r="F98" s="444"/>
      <c r="G98" s="444"/>
      <c r="H98" s="444"/>
      <c r="I98" s="444"/>
    </row>
    <row r="99" ht="15.75" customHeight="1">
      <c r="A99" s="444"/>
      <c r="B99" s="444"/>
      <c r="C99" s="444"/>
      <c r="D99" s="444"/>
      <c r="E99" s="460"/>
      <c r="F99" s="444"/>
      <c r="G99" s="444"/>
      <c r="H99" s="444"/>
      <c r="I99" s="444"/>
    </row>
    <row r="100" ht="15.75" customHeight="1">
      <c r="A100" s="444"/>
      <c r="B100" s="444"/>
      <c r="C100" s="444"/>
      <c r="D100" s="444"/>
      <c r="E100" s="460"/>
      <c r="F100" s="444"/>
      <c r="G100" s="444"/>
      <c r="H100" s="444"/>
      <c r="I100" s="444"/>
    </row>
    <row r="101" ht="15.75" customHeight="1">
      <c r="A101" s="444"/>
      <c r="B101" s="444"/>
      <c r="C101" s="444"/>
      <c r="D101" s="444"/>
      <c r="E101" s="460"/>
      <c r="F101" s="444"/>
      <c r="G101" s="444"/>
      <c r="H101" s="444"/>
      <c r="I101" s="444"/>
    </row>
    <row r="102" ht="15.75" customHeight="1">
      <c r="A102" s="444"/>
      <c r="B102" s="444"/>
      <c r="C102" s="444"/>
      <c r="D102" s="444"/>
      <c r="E102" s="460"/>
      <c r="F102" s="444"/>
      <c r="G102" s="444"/>
      <c r="H102" s="444"/>
      <c r="I102" s="444"/>
    </row>
    <row r="103" ht="15.75" customHeight="1">
      <c r="A103" s="444"/>
      <c r="B103" s="444"/>
      <c r="C103" s="444"/>
      <c r="D103" s="444"/>
      <c r="E103" s="460"/>
      <c r="F103" s="444"/>
      <c r="G103" s="444"/>
      <c r="H103" s="444"/>
      <c r="I103" s="444"/>
    </row>
    <row r="104" ht="15.75" customHeight="1">
      <c r="A104" s="444"/>
      <c r="B104" s="444"/>
      <c r="C104" s="444"/>
      <c r="D104" s="444"/>
      <c r="E104" s="460"/>
      <c r="F104" s="444"/>
      <c r="G104" s="444"/>
      <c r="H104" s="444"/>
      <c r="I104" s="444"/>
    </row>
    <row r="105" ht="15.75" customHeight="1">
      <c r="A105" s="444"/>
      <c r="B105" s="444"/>
      <c r="C105" s="444"/>
      <c r="D105" s="444"/>
      <c r="E105" s="460"/>
      <c r="F105" s="444"/>
      <c r="G105" s="444"/>
      <c r="H105" s="444"/>
      <c r="I105" s="444"/>
    </row>
    <row r="106" ht="15.75" customHeight="1">
      <c r="A106" s="444"/>
      <c r="B106" s="444"/>
      <c r="C106" s="444"/>
      <c r="D106" s="444"/>
      <c r="E106" s="460"/>
      <c r="F106" s="444"/>
      <c r="G106" s="444"/>
      <c r="H106" s="444"/>
      <c r="I106" s="444"/>
    </row>
    <row r="107" ht="15.75" customHeight="1">
      <c r="A107" s="444"/>
      <c r="B107" s="444"/>
      <c r="C107" s="444"/>
      <c r="D107" s="444"/>
      <c r="E107" s="460"/>
      <c r="F107" s="444"/>
      <c r="G107" s="444"/>
      <c r="H107" s="444"/>
      <c r="I107" s="444"/>
    </row>
    <row r="108" ht="15.75" customHeight="1">
      <c r="A108" s="444"/>
      <c r="B108" s="444"/>
      <c r="C108" s="444"/>
      <c r="D108" s="444"/>
      <c r="E108" s="460"/>
      <c r="F108" s="444"/>
      <c r="G108" s="444"/>
      <c r="H108" s="444"/>
      <c r="I108" s="444"/>
    </row>
    <row r="109" ht="15.75" customHeight="1">
      <c r="A109" s="444"/>
      <c r="B109" s="444"/>
      <c r="C109" s="444"/>
      <c r="D109" s="444"/>
      <c r="E109" s="460"/>
      <c r="F109" s="444"/>
      <c r="G109" s="444"/>
      <c r="H109" s="444"/>
      <c r="I109" s="444"/>
    </row>
    <row r="110" ht="15.75" customHeight="1">
      <c r="A110" s="444"/>
      <c r="B110" s="444"/>
      <c r="C110" s="444"/>
      <c r="D110" s="444"/>
      <c r="E110" s="460"/>
      <c r="F110" s="444"/>
      <c r="G110" s="444"/>
      <c r="H110" s="444"/>
      <c r="I110" s="444"/>
    </row>
    <row r="111" ht="15.75" customHeight="1">
      <c r="A111" s="444"/>
      <c r="B111" s="444"/>
      <c r="C111" s="444"/>
      <c r="D111" s="444"/>
      <c r="E111" s="460"/>
      <c r="F111" s="444"/>
      <c r="G111" s="444"/>
      <c r="H111" s="444"/>
      <c r="I111" s="444"/>
    </row>
    <row r="112" ht="15.75" customHeight="1">
      <c r="A112" s="444"/>
      <c r="B112" s="444"/>
      <c r="C112" s="444"/>
      <c r="D112" s="444"/>
      <c r="E112" s="460"/>
      <c r="F112" s="444"/>
      <c r="G112" s="444"/>
      <c r="H112" s="444"/>
      <c r="I112" s="444"/>
    </row>
    <row r="113" ht="15.75" customHeight="1">
      <c r="A113" s="444"/>
      <c r="B113" s="444"/>
      <c r="C113" s="444"/>
      <c r="D113" s="444"/>
      <c r="E113" s="460"/>
      <c r="F113" s="444"/>
      <c r="G113" s="444"/>
      <c r="H113" s="444"/>
      <c r="I113" s="444"/>
    </row>
    <row r="114" ht="15.75" customHeight="1">
      <c r="A114" s="444"/>
      <c r="B114" s="444"/>
      <c r="C114" s="444"/>
      <c r="D114" s="444"/>
      <c r="E114" s="460"/>
      <c r="F114" s="444"/>
      <c r="G114" s="444"/>
      <c r="H114" s="444"/>
      <c r="I114" s="444"/>
    </row>
    <row r="115" ht="15.75" customHeight="1">
      <c r="A115" s="444"/>
      <c r="B115" s="444"/>
      <c r="C115" s="444"/>
      <c r="D115" s="444"/>
      <c r="E115" s="460"/>
      <c r="F115" s="444"/>
      <c r="G115" s="444"/>
      <c r="H115" s="444"/>
      <c r="I115" s="444"/>
    </row>
    <row r="116" ht="15.75" customHeight="1">
      <c r="A116" s="444"/>
      <c r="B116" s="444"/>
      <c r="C116" s="444"/>
      <c r="D116" s="444"/>
      <c r="E116" s="460"/>
      <c r="F116" s="444"/>
      <c r="G116" s="444"/>
      <c r="H116" s="444"/>
      <c r="I116" s="444"/>
    </row>
    <row r="117" ht="15.75" customHeight="1">
      <c r="A117" s="444"/>
      <c r="B117" s="444"/>
      <c r="C117" s="444"/>
      <c r="D117" s="444"/>
      <c r="E117" s="460"/>
      <c r="F117" s="444"/>
      <c r="G117" s="444"/>
      <c r="H117" s="444"/>
      <c r="I117" s="444"/>
    </row>
    <row r="118" ht="15.75" customHeight="1">
      <c r="A118" s="444"/>
      <c r="B118" s="444"/>
      <c r="C118" s="444"/>
      <c r="D118" s="444"/>
      <c r="E118" s="460"/>
      <c r="F118" s="444"/>
      <c r="G118" s="444"/>
      <c r="H118" s="444"/>
      <c r="I118" s="444"/>
    </row>
    <row r="119" ht="15.75" customHeight="1">
      <c r="A119" s="444"/>
      <c r="B119" s="444"/>
      <c r="C119" s="444"/>
      <c r="D119" s="444"/>
      <c r="E119" s="460"/>
      <c r="F119" s="444"/>
      <c r="G119" s="444"/>
      <c r="H119" s="444"/>
      <c r="I119" s="444"/>
    </row>
    <row r="120" ht="15.75" customHeight="1">
      <c r="A120" s="444"/>
      <c r="B120" s="444"/>
      <c r="C120" s="444"/>
      <c r="D120" s="444"/>
      <c r="E120" s="460"/>
      <c r="F120" s="444"/>
      <c r="G120" s="444"/>
      <c r="H120" s="444"/>
      <c r="I120" s="444"/>
    </row>
    <row r="121" ht="15.75" customHeight="1">
      <c r="A121" s="444"/>
      <c r="B121" s="444"/>
      <c r="C121" s="444"/>
      <c r="D121" s="444"/>
      <c r="E121" s="460"/>
      <c r="F121" s="444"/>
      <c r="G121" s="444"/>
      <c r="H121" s="444"/>
      <c r="I121" s="444"/>
    </row>
    <row r="122" ht="15.75" customHeight="1">
      <c r="A122" s="444"/>
      <c r="B122" s="444"/>
      <c r="C122" s="444"/>
      <c r="D122" s="444"/>
      <c r="E122" s="460"/>
      <c r="F122" s="444"/>
      <c r="G122" s="444"/>
      <c r="H122" s="444"/>
      <c r="I122" s="444"/>
    </row>
    <row r="123" ht="15.75" customHeight="1">
      <c r="A123" s="444"/>
      <c r="B123" s="444"/>
      <c r="C123" s="444"/>
      <c r="D123" s="444"/>
      <c r="E123" s="460"/>
      <c r="F123" s="444"/>
      <c r="G123" s="444"/>
      <c r="H123" s="444"/>
      <c r="I123" s="444"/>
    </row>
    <row r="124" ht="15.75" customHeight="1">
      <c r="A124" s="444"/>
      <c r="B124" s="444"/>
      <c r="C124" s="444"/>
      <c r="D124" s="444"/>
      <c r="E124" s="460"/>
      <c r="F124" s="444"/>
      <c r="G124" s="444"/>
      <c r="H124" s="444"/>
      <c r="I124" s="444"/>
    </row>
    <row r="125" ht="15.75" customHeight="1">
      <c r="A125" s="444"/>
      <c r="B125" s="444"/>
      <c r="C125" s="444"/>
      <c r="D125" s="444"/>
      <c r="E125" s="460"/>
      <c r="F125" s="444"/>
      <c r="G125" s="444"/>
      <c r="H125" s="444"/>
      <c r="I125" s="444"/>
    </row>
    <row r="126" ht="15.75" customHeight="1">
      <c r="A126" s="444"/>
      <c r="B126" s="444"/>
      <c r="C126" s="444"/>
      <c r="D126" s="444"/>
      <c r="E126" s="460"/>
      <c r="F126" s="444"/>
      <c r="G126" s="444"/>
      <c r="H126" s="444"/>
      <c r="I126" s="444"/>
    </row>
    <row r="127" ht="15.75" customHeight="1">
      <c r="A127" s="444"/>
      <c r="B127" s="444"/>
      <c r="C127" s="444"/>
      <c r="D127" s="444"/>
      <c r="E127" s="460"/>
      <c r="F127" s="444"/>
      <c r="G127" s="444"/>
      <c r="H127" s="444"/>
      <c r="I127" s="444"/>
    </row>
    <row r="128" ht="15.75" customHeight="1">
      <c r="A128" s="444"/>
      <c r="B128" s="444"/>
      <c r="C128" s="444"/>
      <c r="D128" s="444"/>
      <c r="E128" s="460"/>
      <c r="F128" s="444"/>
      <c r="G128" s="444"/>
      <c r="H128" s="444"/>
      <c r="I128" s="444"/>
    </row>
    <row r="129" ht="15.75" customHeight="1">
      <c r="A129" s="444"/>
      <c r="B129" s="444"/>
      <c r="C129" s="444"/>
      <c r="D129" s="444"/>
      <c r="E129" s="460"/>
      <c r="F129" s="444"/>
      <c r="G129" s="444"/>
      <c r="H129" s="444"/>
      <c r="I129" s="444"/>
    </row>
    <row r="130" ht="15.75" customHeight="1">
      <c r="A130" s="444"/>
      <c r="B130" s="444"/>
      <c r="C130" s="444"/>
      <c r="D130" s="444"/>
      <c r="E130" s="460"/>
      <c r="F130" s="444"/>
      <c r="G130" s="444"/>
      <c r="H130" s="444"/>
      <c r="I130" s="444"/>
    </row>
    <row r="131" ht="15.75" customHeight="1">
      <c r="A131" s="444"/>
      <c r="B131" s="444"/>
      <c r="C131" s="444"/>
      <c r="D131" s="444"/>
      <c r="E131" s="460"/>
      <c r="F131" s="444"/>
      <c r="G131" s="444"/>
      <c r="H131" s="444"/>
      <c r="I131" s="444"/>
    </row>
    <row r="132" ht="15.75" customHeight="1">
      <c r="A132" s="444"/>
      <c r="B132" s="444"/>
      <c r="C132" s="444"/>
      <c r="D132" s="444"/>
      <c r="E132" s="460"/>
      <c r="F132" s="444"/>
      <c r="G132" s="444"/>
      <c r="H132" s="444"/>
      <c r="I132" s="444"/>
    </row>
    <row r="133" ht="15.75" customHeight="1">
      <c r="A133" s="444"/>
      <c r="B133" s="444"/>
      <c r="C133" s="444"/>
      <c r="D133" s="444"/>
      <c r="E133" s="460"/>
      <c r="F133" s="444"/>
      <c r="G133" s="444"/>
      <c r="H133" s="444"/>
      <c r="I133" s="444"/>
    </row>
    <row r="134" ht="15.75" customHeight="1">
      <c r="A134" s="444"/>
      <c r="B134" s="444"/>
      <c r="C134" s="444"/>
      <c r="D134" s="444"/>
      <c r="E134" s="460"/>
      <c r="F134" s="444"/>
      <c r="G134" s="444"/>
      <c r="H134" s="444"/>
      <c r="I134" s="444"/>
    </row>
    <row r="135" ht="15.75" customHeight="1">
      <c r="A135" s="444"/>
      <c r="B135" s="444"/>
      <c r="C135" s="444"/>
      <c r="D135" s="444"/>
      <c r="E135" s="460"/>
      <c r="F135" s="444"/>
      <c r="G135" s="444"/>
      <c r="H135" s="444"/>
      <c r="I135" s="444"/>
    </row>
    <row r="136" ht="15.75" customHeight="1">
      <c r="A136" s="444"/>
      <c r="B136" s="444"/>
      <c r="C136" s="444"/>
      <c r="D136" s="444"/>
      <c r="E136" s="460"/>
      <c r="F136" s="444"/>
      <c r="G136" s="444"/>
      <c r="H136" s="444"/>
      <c r="I136" s="444"/>
    </row>
    <row r="137" ht="15.75" customHeight="1">
      <c r="A137" s="444"/>
      <c r="B137" s="444"/>
      <c r="C137" s="444"/>
      <c r="D137" s="444"/>
      <c r="E137" s="460"/>
      <c r="F137" s="444"/>
      <c r="G137" s="444"/>
      <c r="H137" s="444"/>
      <c r="I137" s="444"/>
    </row>
    <row r="138" ht="15.75" customHeight="1">
      <c r="A138" s="444"/>
      <c r="B138" s="444"/>
      <c r="C138" s="444"/>
      <c r="D138" s="444"/>
      <c r="E138" s="460"/>
      <c r="F138" s="444"/>
      <c r="G138" s="444"/>
      <c r="H138" s="444"/>
      <c r="I138" s="444"/>
    </row>
    <row r="139" ht="15.75" customHeight="1">
      <c r="A139" s="444"/>
      <c r="B139" s="444"/>
      <c r="C139" s="444"/>
      <c r="D139" s="444"/>
      <c r="E139" s="460"/>
      <c r="F139" s="444"/>
      <c r="G139" s="444"/>
      <c r="H139" s="444"/>
      <c r="I139" s="444"/>
    </row>
    <row r="140" ht="15.75" customHeight="1">
      <c r="A140" s="444"/>
      <c r="B140" s="444"/>
      <c r="C140" s="444"/>
      <c r="D140" s="444"/>
      <c r="E140" s="460"/>
      <c r="F140" s="444"/>
      <c r="G140" s="444"/>
      <c r="H140" s="444"/>
      <c r="I140" s="444"/>
    </row>
    <row r="141" ht="15.75" customHeight="1">
      <c r="A141" s="444"/>
      <c r="B141" s="444"/>
      <c r="C141" s="444"/>
      <c r="D141" s="444"/>
      <c r="E141" s="460"/>
      <c r="F141" s="444"/>
      <c r="G141" s="444"/>
      <c r="H141" s="444"/>
      <c r="I141" s="444"/>
    </row>
    <row r="142" ht="15.75" customHeight="1">
      <c r="A142" s="444"/>
      <c r="B142" s="444"/>
      <c r="C142" s="444"/>
      <c r="D142" s="444"/>
      <c r="E142" s="460"/>
      <c r="F142" s="444"/>
      <c r="G142" s="444"/>
      <c r="H142" s="444"/>
      <c r="I142" s="444"/>
    </row>
    <row r="143" ht="15.75" customHeight="1">
      <c r="A143" s="444"/>
      <c r="B143" s="444"/>
      <c r="C143" s="444"/>
      <c r="D143" s="444"/>
      <c r="E143" s="460"/>
      <c r="F143" s="444"/>
      <c r="G143" s="444"/>
      <c r="H143" s="444"/>
      <c r="I143" s="444"/>
    </row>
    <row r="144" ht="15.75" customHeight="1">
      <c r="A144" s="444"/>
      <c r="B144" s="444"/>
      <c r="C144" s="444"/>
      <c r="D144" s="444"/>
      <c r="E144" s="460"/>
      <c r="F144" s="444"/>
      <c r="G144" s="444"/>
      <c r="H144" s="444"/>
      <c r="I144" s="444"/>
    </row>
    <row r="145" ht="15.75" customHeight="1">
      <c r="A145" s="444"/>
      <c r="B145" s="444"/>
      <c r="C145" s="444"/>
      <c r="D145" s="444"/>
      <c r="E145" s="460"/>
      <c r="F145" s="444"/>
      <c r="G145" s="444"/>
      <c r="H145" s="444"/>
      <c r="I145" s="444"/>
    </row>
    <row r="146" ht="15.75" customHeight="1">
      <c r="A146" s="444"/>
      <c r="B146" s="444"/>
      <c r="C146" s="444"/>
      <c r="D146" s="444"/>
      <c r="E146" s="460"/>
      <c r="F146" s="444"/>
      <c r="G146" s="444"/>
      <c r="H146" s="444"/>
      <c r="I146" s="444"/>
    </row>
    <row r="147" ht="15.75" customHeight="1">
      <c r="A147" s="444"/>
      <c r="B147" s="444"/>
      <c r="C147" s="444"/>
      <c r="D147" s="444"/>
      <c r="E147" s="460"/>
      <c r="F147" s="444"/>
      <c r="G147" s="444"/>
      <c r="H147" s="444"/>
      <c r="I147" s="444"/>
    </row>
    <row r="148" ht="15.75" customHeight="1">
      <c r="A148" s="444"/>
      <c r="B148" s="444"/>
      <c r="C148" s="444"/>
      <c r="D148" s="444"/>
      <c r="E148" s="460"/>
      <c r="F148" s="444"/>
      <c r="G148" s="444"/>
      <c r="H148" s="444"/>
      <c r="I148" s="444"/>
    </row>
    <row r="149" ht="15.75" customHeight="1">
      <c r="A149" s="444"/>
      <c r="B149" s="444"/>
      <c r="C149" s="444"/>
      <c r="D149" s="444"/>
      <c r="E149" s="460"/>
      <c r="F149" s="444"/>
      <c r="G149" s="444"/>
      <c r="H149" s="444"/>
      <c r="I149" s="444"/>
    </row>
    <row r="150" ht="15.75" customHeight="1">
      <c r="A150" s="444"/>
      <c r="B150" s="444"/>
      <c r="C150" s="444"/>
      <c r="D150" s="444"/>
      <c r="E150" s="460"/>
      <c r="F150" s="444"/>
      <c r="G150" s="444"/>
      <c r="H150" s="444"/>
      <c r="I150" s="444"/>
    </row>
    <row r="151" ht="15.75" customHeight="1">
      <c r="A151" s="444"/>
      <c r="B151" s="444"/>
      <c r="C151" s="444"/>
      <c r="D151" s="444"/>
      <c r="E151" s="460"/>
      <c r="F151" s="444"/>
      <c r="G151" s="444"/>
      <c r="H151" s="444"/>
      <c r="I151" s="444"/>
    </row>
    <row r="152" ht="15.75" customHeight="1">
      <c r="A152" s="444"/>
      <c r="B152" s="444"/>
      <c r="C152" s="444"/>
      <c r="D152" s="444"/>
      <c r="E152" s="460"/>
      <c r="F152" s="444"/>
      <c r="G152" s="444"/>
      <c r="H152" s="444"/>
      <c r="I152" s="444"/>
    </row>
    <row r="153" ht="15.75" customHeight="1">
      <c r="A153" s="444"/>
      <c r="B153" s="444"/>
      <c r="C153" s="444"/>
      <c r="D153" s="444"/>
      <c r="E153" s="460"/>
      <c r="F153" s="444"/>
      <c r="G153" s="444"/>
      <c r="H153" s="444"/>
      <c r="I153" s="444"/>
    </row>
    <row r="154" ht="15.75" customHeight="1">
      <c r="A154" s="444"/>
      <c r="B154" s="444"/>
      <c r="C154" s="444"/>
      <c r="D154" s="444"/>
      <c r="E154" s="460"/>
      <c r="F154" s="444"/>
      <c r="G154" s="444"/>
      <c r="H154" s="444"/>
      <c r="I154" s="444"/>
    </row>
    <row r="155" ht="15.75" customHeight="1">
      <c r="A155" s="444"/>
      <c r="B155" s="444"/>
      <c r="C155" s="444"/>
      <c r="D155" s="444"/>
      <c r="E155" s="460"/>
      <c r="F155" s="444"/>
      <c r="G155" s="444"/>
      <c r="H155" s="444"/>
      <c r="I155" s="444"/>
    </row>
    <row r="156" ht="15.75" customHeight="1">
      <c r="A156" s="444"/>
      <c r="B156" s="444"/>
      <c r="C156" s="444"/>
      <c r="D156" s="444"/>
      <c r="E156" s="460"/>
      <c r="F156" s="444"/>
      <c r="G156" s="444"/>
      <c r="H156" s="444"/>
      <c r="I156" s="444"/>
    </row>
    <row r="157" ht="15.75" customHeight="1">
      <c r="A157" s="444"/>
      <c r="B157" s="444"/>
      <c r="C157" s="444"/>
      <c r="D157" s="444"/>
      <c r="E157" s="460"/>
      <c r="F157" s="444"/>
      <c r="G157" s="444"/>
      <c r="H157" s="444"/>
      <c r="I157" s="444"/>
    </row>
    <row r="158" ht="15.75" customHeight="1">
      <c r="A158" s="444"/>
      <c r="B158" s="444"/>
      <c r="C158" s="444"/>
      <c r="D158" s="444"/>
      <c r="E158" s="460"/>
      <c r="F158" s="444"/>
      <c r="G158" s="444"/>
      <c r="H158" s="444"/>
      <c r="I158" s="444"/>
    </row>
    <row r="159" ht="15.75" customHeight="1">
      <c r="A159" s="444"/>
      <c r="B159" s="444"/>
      <c r="C159" s="444"/>
      <c r="D159" s="444"/>
      <c r="E159" s="460"/>
      <c r="F159" s="444"/>
      <c r="G159" s="444"/>
      <c r="H159" s="444"/>
      <c r="I159" s="444"/>
    </row>
    <row r="160" ht="15.75" customHeight="1">
      <c r="A160" s="444"/>
      <c r="B160" s="444"/>
      <c r="C160" s="444"/>
      <c r="D160" s="444"/>
      <c r="E160" s="460"/>
      <c r="F160" s="444"/>
      <c r="G160" s="444"/>
      <c r="H160" s="444"/>
      <c r="I160" s="444"/>
    </row>
    <row r="161" ht="15.75" customHeight="1">
      <c r="A161" s="444"/>
      <c r="B161" s="444"/>
      <c r="C161" s="444"/>
      <c r="D161" s="444"/>
      <c r="E161" s="460"/>
      <c r="F161" s="444"/>
      <c r="G161" s="444"/>
      <c r="H161" s="444"/>
      <c r="I161" s="444"/>
    </row>
    <row r="162" ht="15.75" customHeight="1">
      <c r="A162" s="444"/>
      <c r="B162" s="444"/>
      <c r="C162" s="444"/>
      <c r="D162" s="444"/>
      <c r="E162" s="460"/>
      <c r="F162" s="444"/>
      <c r="G162" s="444"/>
      <c r="H162" s="444"/>
      <c r="I162" s="444"/>
    </row>
    <row r="163" ht="15.75" customHeight="1">
      <c r="A163" s="444"/>
      <c r="B163" s="444"/>
      <c r="C163" s="444"/>
      <c r="D163" s="444"/>
      <c r="E163" s="460"/>
      <c r="F163" s="444"/>
      <c r="G163" s="444"/>
      <c r="H163" s="444"/>
      <c r="I163" s="444"/>
    </row>
    <row r="164" ht="15.75" customHeight="1">
      <c r="A164" s="444"/>
      <c r="B164" s="444"/>
      <c r="C164" s="444"/>
      <c r="D164" s="444"/>
      <c r="E164" s="460"/>
      <c r="F164" s="444"/>
      <c r="G164" s="444"/>
      <c r="H164" s="444"/>
      <c r="I164" s="444"/>
    </row>
    <row r="165" ht="15.75" customHeight="1">
      <c r="A165" s="444"/>
      <c r="B165" s="444"/>
      <c r="C165" s="444"/>
      <c r="D165" s="444"/>
      <c r="E165" s="460"/>
      <c r="F165" s="444"/>
      <c r="G165" s="444"/>
      <c r="H165" s="444"/>
      <c r="I165" s="444"/>
    </row>
    <row r="166" ht="15.75" customHeight="1">
      <c r="A166" s="444"/>
      <c r="B166" s="444"/>
      <c r="C166" s="444"/>
      <c r="D166" s="444"/>
      <c r="E166" s="460"/>
      <c r="F166" s="444"/>
      <c r="G166" s="444"/>
      <c r="H166" s="444"/>
      <c r="I166" s="444"/>
    </row>
    <row r="167" ht="15.75" customHeight="1">
      <c r="A167" s="444"/>
      <c r="B167" s="444"/>
      <c r="C167" s="444"/>
      <c r="D167" s="444"/>
      <c r="E167" s="460"/>
      <c r="F167" s="444"/>
      <c r="G167" s="444"/>
      <c r="H167" s="444"/>
      <c r="I167" s="444"/>
    </row>
    <row r="168" ht="15.75" customHeight="1">
      <c r="A168" s="444"/>
      <c r="B168" s="444"/>
      <c r="C168" s="444"/>
      <c r="D168" s="444"/>
      <c r="E168" s="460"/>
      <c r="F168" s="444"/>
      <c r="G168" s="444"/>
      <c r="H168" s="444"/>
      <c r="I168" s="444"/>
    </row>
    <row r="169" ht="15.75" customHeight="1">
      <c r="A169" s="444"/>
      <c r="B169" s="444"/>
      <c r="C169" s="444"/>
      <c r="D169" s="444"/>
      <c r="E169" s="460"/>
      <c r="F169" s="444"/>
      <c r="G169" s="444"/>
      <c r="H169" s="444"/>
      <c r="I169" s="444"/>
    </row>
    <row r="170" ht="15.75" customHeight="1">
      <c r="A170" s="444"/>
      <c r="B170" s="444"/>
      <c r="C170" s="444"/>
      <c r="D170" s="444"/>
      <c r="E170" s="460"/>
      <c r="F170" s="444"/>
      <c r="G170" s="444"/>
      <c r="H170" s="444"/>
      <c r="I170" s="444"/>
    </row>
    <row r="171" ht="15.75" customHeight="1">
      <c r="A171" s="444"/>
      <c r="B171" s="444"/>
      <c r="C171" s="444"/>
      <c r="D171" s="444"/>
      <c r="E171" s="460"/>
      <c r="F171" s="444"/>
      <c r="G171" s="444"/>
      <c r="H171" s="444"/>
      <c r="I171" s="444"/>
    </row>
    <row r="172" ht="15.75" customHeight="1">
      <c r="A172" s="444"/>
      <c r="B172" s="444"/>
      <c r="C172" s="444"/>
      <c r="D172" s="444"/>
      <c r="E172" s="460"/>
      <c r="F172" s="444"/>
      <c r="G172" s="444"/>
      <c r="H172" s="444"/>
      <c r="I172" s="444"/>
    </row>
    <row r="173" ht="15.75" customHeight="1">
      <c r="A173" s="444"/>
      <c r="B173" s="444"/>
      <c r="C173" s="444"/>
      <c r="D173" s="444"/>
      <c r="E173" s="460"/>
      <c r="F173" s="444"/>
      <c r="G173" s="444"/>
      <c r="H173" s="444"/>
      <c r="I173" s="444"/>
    </row>
    <row r="174" ht="15.75" customHeight="1">
      <c r="A174" s="444"/>
      <c r="B174" s="444"/>
      <c r="C174" s="444"/>
      <c r="D174" s="444"/>
      <c r="E174" s="460"/>
      <c r="F174" s="444"/>
      <c r="G174" s="444"/>
      <c r="H174" s="444"/>
      <c r="I174" s="444"/>
    </row>
    <row r="175" ht="15.75" customHeight="1">
      <c r="A175" s="444"/>
      <c r="B175" s="444"/>
      <c r="C175" s="444"/>
      <c r="D175" s="444"/>
      <c r="E175" s="460"/>
      <c r="F175" s="444"/>
      <c r="G175" s="444"/>
      <c r="H175" s="444"/>
      <c r="I175" s="444"/>
    </row>
    <row r="176" ht="15.75" customHeight="1">
      <c r="A176" s="444"/>
      <c r="B176" s="444"/>
      <c r="C176" s="444"/>
      <c r="D176" s="444"/>
      <c r="E176" s="460"/>
      <c r="F176" s="444"/>
      <c r="G176" s="444"/>
      <c r="H176" s="444"/>
      <c r="I176" s="444"/>
    </row>
    <row r="177" ht="15.75" customHeight="1">
      <c r="A177" s="444"/>
      <c r="B177" s="444"/>
      <c r="C177" s="444"/>
      <c r="D177" s="444"/>
      <c r="E177" s="460"/>
      <c r="F177" s="444"/>
      <c r="G177" s="444"/>
      <c r="H177" s="444"/>
      <c r="I177" s="444"/>
    </row>
    <row r="178" ht="15.75" customHeight="1">
      <c r="A178" s="444"/>
      <c r="B178" s="444"/>
      <c r="C178" s="444"/>
      <c r="D178" s="444"/>
      <c r="E178" s="460"/>
      <c r="F178" s="444"/>
      <c r="G178" s="444"/>
      <c r="H178" s="444"/>
      <c r="I178" s="444"/>
    </row>
    <row r="179" ht="15.75" customHeight="1">
      <c r="A179" s="444"/>
      <c r="B179" s="444"/>
      <c r="C179" s="444"/>
      <c r="D179" s="444"/>
      <c r="E179" s="460"/>
      <c r="F179" s="444"/>
      <c r="G179" s="444"/>
      <c r="H179" s="444"/>
      <c r="I179" s="444"/>
    </row>
    <row r="180" ht="15.75" customHeight="1">
      <c r="A180" s="444"/>
      <c r="B180" s="444"/>
      <c r="C180" s="444"/>
      <c r="D180" s="444"/>
      <c r="E180" s="460"/>
      <c r="F180" s="444"/>
      <c r="G180" s="444"/>
      <c r="H180" s="444"/>
      <c r="I180" s="444"/>
    </row>
    <row r="181" ht="15.75" customHeight="1">
      <c r="A181" s="444"/>
      <c r="B181" s="444"/>
      <c r="C181" s="444"/>
      <c r="D181" s="444"/>
      <c r="E181" s="460"/>
      <c r="F181" s="444"/>
      <c r="G181" s="444"/>
      <c r="H181" s="444"/>
      <c r="I181" s="444"/>
    </row>
    <row r="182" ht="15.75" customHeight="1">
      <c r="A182" s="444"/>
      <c r="B182" s="444"/>
      <c r="C182" s="444"/>
      <c r="D182" s="444"/>
      <c r="E182" s="460"/>
      <c r="F182" s="444"/>
      <c r="G182" s="444"/>
      <c r="H182" s="444"/>
      <c r="I182" s="444"/>
    </row>
    <row r="183" ht="15.75" customHeight="1">
      <c r="A183" s="444"/>
      <c r="B183" s="444"/>
      <c r="C183" s="444"/>
      <c r="D183" s="444"/>
      <c r="E183" s="460"/>
      <c r="F183" s="444"/>
      <c r="G183" s="444"/>
      <c r="H183" s="444"/>
      <c r="I183" s="444"/>
    </row>
    <row r="184" ht="15.75" customHeight="1">
      <c r="A184" s="444"/>
      <c r="B184" s="444"/>
      <c r="C184" s="444"/>
      <c r="D184" s="444"/>
      <c r="E184" s="460"/>
      <c r="F184" s="444"/>
      <c r="G184" s="444"/>
      <c r="H184" s="444"/>
      <c r="I184" s="444"/>
    </row>
    <row r="185" ht="15.75" customHeight="1">
      <c r="A185" s="444"/>
      <c r="B185" s="444"/>
      <c r="C185" s="444"/>
      <c r="D185" s="444"/>
      <c r="E185" s="460"/>
      <c r="F185" s="444"/>
      <c r="G185" s="444"/>
      <c r="H185" s="444"/>
      <c r="I185" s="444"/>
    </row>
    <row r="186" ht="15.75" customHeight="1">
      <c r="A186" s="444"/>
      <c r="B186" s="444"/>
      <c r="C186" s="444"/>
      <c r="D186" s="444"/>
      <c r="E186" s="460"/>
      <c r="F186" s="444"/>
      <c r="G186" s="444"/>
      <c r="H186" s="444"/>
      <c r="I186" s="444"/>
    </row>
    <row r="187" ht="15.75" customHeight="1">
      <c r="A187" s="444"/>
      <c r="B187" s="444"/>
      <c r="C187" s="444"/>
      <c r="D187" s="444"/>
      <c r="E187" s="460"/>
      <c r="F187" s="444"/>
      <c r="G187" s="444"/>
      <c r="H187" s="444"/>
      <c r="I187" s="444"/>
    </row>
    <row r="188" ht="15.75" customHeight="1">
      <c r="A188" s="444"/>
      <c r="B188" s="444"/>
      <c r="C188" s="444"/>
      <c r="D188" s="444"/>
      <c r="E188" s="460"/>
      <c r="F188" s="444"/>
      <c r="G188" s="444"/>
      <c r="H188" s="444"/>
      <c r="I188" s="444"/>
    </row>
    <row r="189" ht="15.75" customHeight="1">
      <c r="A189" s="444"/>
      <c r="B189" s="444"/>
      <c r="C189" s="444"/>
      <c r="D189" s="444"/>
      <c r="E189" s="460"/>
      <c r="F189" s="444"/>
      <c r="G189" s="444"/>
      <c r="H189" s="444"/>
      <c r="I189" s="444"/>
    </row>
    <row r="190" ht="15.75" customHeight="1">
      <c r="A190" s="444"/>
      <c r="B190" s="444"/>
      <c r="C190" s="444"/>
      <c r="D190" s="444"/>
      <c r="E190" s="460"/>
      <c r="F190" s="444"/>
      <c r="G190" s="444"/>
      <c r="H190" s="444"/>
      <c r="I190" s="444"/>
    </row>
    <row r="191" ht="15.75" customHeight="1">
      <c r="A191" s="444"/>
      <c r="B191" s="444"/>
      <c r="C191" s="444"/>
      <c r="D191" s="444"/>
      <c r="E191" s="460"/>
      <c r="F191" s="444"/>
      <c r="G191" s="444"/>
      <c r="H191" s="444"/>
      <c r="I191" s="444"/>
    </row>
    <row r="192" ht="15.75" customHeight="1">
      <c r="A192" s="444"/>
      <c r="B192" s="444"/>
      <c r="C192" s="444"/>
      <c r="D192" s="444"/>
      <c r="E192" s="460"/>
      <c r="F192" s="444"/>
      <c r="G192" s="444"/>
      <c r="H192" s="444"/>
      <c r="I192" s="444"/>
    </row>
    <row r="193" ht="15.75" customHeight="1">
      <c r="A193" s="444"/>
      <c r="B193" s="444"/>
      <c r="C193" s="444"/>
      <c r="D193" s="444"/>
      <c r="E193" s="460"/>
      <c r="F193" s="444"/>
      <c r="G193" s="444"/>
      <c r="H193" s="444"/>
      <c r="I193" s="444"/>
    </row>
    <row r="194" ht="15.75" customHeight="1">
      <c r="A194" s="444"/>
      <c r="B194" s="444"/>
      <c r="C194" s="444"/>
      <c r="D194" s="444"/>
      <c r="E194" s="460"/>
      <c r="F194" s="444"/>
      <c r="G194" s="444"/>
      <c r="H194" s="444"/>
      <c r="I194" s="444"/>
    </row>
    <row r="195" ht="15.75" customHeight="1">
      <c r="A195" s="444"/>
      <c r="B195" s="444"/>
      <c r="C195" s="444"/>
      <c r="D195" s="444"/>
      <c r="E195" s="460"/>
      <c r="F195" s="444"/>
      <c r="G195" s="444"/>
      <c r="H195" s="444"/>
      <c r="I195" s="444"/>
    </row>
    <row r="196" ht="15.75" customHeight="1">
      <c r="A196" s="444"/>
      <c r="B196" s="444"/>
      <c r="C196" s="444"/>
      <c r="D196" s="444"/>
      <c r="E196" s="460"/>
      <c r="F196" s="444"/>
      <c r="G196" s="444"/>
      <c r="H196" s="444"/>
      <c r="I196" s="444"/>
    </row>
    <row r="197" ht="15.75" customHeight="1">
      <c r="A197" s="444"/>
      <c r="B197" s="444"/>
      <c r="C197" s="444"/>
      <c r="D197" s="444"/>
      <c r="E197" s="460"/>
      <c r="F197" s="444"/>
      <c r="G197" s="444"/>
      <c r="H197" s="444"/>
      <c r="I197" s="444"/>
    </row>
    <row r="198" ht="15.75" customHeight="1">
      <c r="A198" s="444"/>
      <c r="B198" s="444"/>
      <c r="C198" s="444"/>
      <c r="D198" s="444"/>
      <c r="E198" s="460"/>
      <c r="F198" s="444"/>
      <c r="G198" s="444"/>
      <c r="H198" s="444"/>
      <c r="I198" s="444"/>
    </row>
    <row r="199" ht="15.75" customHeight="1">
      <c r="A199" s="444"/>
      <c r="B199" s="444"/>
      <c r="C199" s="444"/>
      <c r="D199" s="444"/>
      <c r="E199" s="460"/>
      <c r="F199" s="444"/>
      <c r="G199" s="444"/>
      <c r="H199" s="444"/>
      <c r="I199" s="444"/>
    </row>
    <row r="200" ht="15.75" customHeight="1">
      <c r="A200" s="444"/>
      <c r="B200" s="444"/>
      <c r="C200" s="444"/>
      <c r="D200" s="444"/>
      <c r="E200" s="460"/>
      <c r="F200" s="444"/>
      <c r="G200" s="444"/>
      <c r="H200" s="444"/>
      <c r="I200" s="444"/>
    </row>
    <row r="201" ht="15.75" customHeight="1">
      <c r="A201" s="444"/>
      <c r="B201" s="444"/>
      <c r="C201" s="444"/>
      <c r="D201" s="444"/>
      <c r="E201" s="460"/>
      <c r="F201" s="444"/>
      <c r="G201" s="444"/>
      <c r="H201" s="444"/>
      <c r="I201" s="444"/>
    </row>
    <row r="202" ht="15.75" customHeight="1">
      <c r="A202" s="444"/>
      <c r="B202" s="444"/>
      <c r="C202" s="444"/>
      <c r="D202" s="444"/>
      <c r="E202" s="460"/>
      <c r="F202" s="444"/>
      <c r="G202" s="444"/>
      <c r="H202" s="444"/>
      <c r="I202" s="444"/>
    </row>
    <row r="203" ht="15.75" customHeight="1">
      <c r="A203" s="444"/>
      <c r="B203" s="444"/>
      <c r="C203" s="444"/>
      <c r="D203" s="444"/>
      <c r="E203" s="460"/>
      <c r="F203" s="444"/>
      <c r="G203" s="444"/>
      <c r="H203" s="444"/>
      <c r="I203" s="444"/>
    </row>
    <row r="204" ht="15.75" customHeight="1">
      <c r="A204" s="444"/>
      <c r="B204" s="444"/>
      <c r="C204" s="444"/>
      <c r="D204" s="444"/>
      <c r="E204" s="460"/>
      <c r="F204" s="444"/>
      <c r="G204" s="444"/>
      <c r="H204" s="444"/>
      <c r="I204" s="444"/>
    </row>
    <row r="205" ht="15.75" customHeight="1">
      <c r="A205" s="444"/>
      <c r="B205" s="444"/>
      <c r="C205" s="444"/>
      <c r="D205" s="444"/>
      <c r="E205" s="460"/>
      <c r="F205" s="444"/>
      <c r="G205" s="444"/>
      <c r="H205" s="444"/>
      <c r="I205" s="444"/>
    </row>
    <row r="206" ht="15.75" customHeight="1">
      <c r="A206" s="444"/>
      <c r="B206" s="444"/>
      <c r="C206" s="444"/>
      <c r="D206" s="444"/>
      <c r="E206" s="460"/>
      <c r="F206" s="444"/>
      <c r="G206" s="444"/>
      <c r="H206" s="444"/>
      <c r="I206" s="444"/>
    </row>
    <row r="207" ht="15.75" customHeight="1">
      <c r="A207" s="444"/>
      <c r="B207" s="444"/>
      <c r="C207" s="444"/>
      <c r="D207" s="444"/>
      <c r="E207" s="460"/>
      <c r="F207" s="444"/>
      <c r="G207" s="444"/>
      <c r="H207" s="444"/>
      <c r="I207" s="444"/>
    </row>
    <row r="208" ht="15.75" customHeight="1">
      <c r="A208" s="444"/>
      <c r="B208" s="444"/>
      <c r="C208" s="444"/>
      <c r="D208" s="444"/>
      <c r="E208" s="460"/>
      <c r="F208" s="444"/>
      <c r="G208" s="444"/>
      <c r="H208" s="444"/>
      <c r="I208" s="444"/>
    </row>
    <row r="209" ht="15.75" customHeight="1">
      <c r="A209" s="444"/>
      <c r="B209" s="444"/>
      <c r="C209" s="444"/>
      <c r="D209" s="444"/>
      <c r="E209" s="460"/>
      <c r="F209" s="444"/>
      <c r="G209" s="444"/>
      <c r="H209" s="444"/>
      <c r="I209" s="444"/>
    </row>
    <row r="210" ht="15.75" customHeight="1">
      <c r="A210" s="444"/>
      <c r="B210" s="444"/>
      <c r="C210" s="444"/>
      <c r="D210" s="444"/>
      <c r="E210" s="460"/>
      <c r="F210" s="444"/>
      <c r="G210" s="444"/>
      <c r="H210" s="444"/>
      <c r="I210" s="444"/>
    </row>
    <row r="211" ht="15.75" customHeight="1">
      <c r="A211" s="444"/>
      <c r="B211" s="444"/>
      <c r="C211" s="444"/>
      <c r="D211" s="444"/>
      <c r="E211" s="460"/>
      <c r="F211" s="444"/>
      <c r="G211" s="444"/>
      <c r="H211" s="444"/>
      <c r="I211" s="444"/>
    </row>
    <row r="212" ht="15.75" customHeight="1">
      <c r="A212" s="444"/>
      <c r="B212" s="444"/>
      <c r="C212" s="444"/>
      <c r="D212" s="444"/>
      <c r="E212" s="460"/>
      <c r="F212" s="444"/>
      <c r="G212" s="444"/>
      <c r="H212" s="444"/>
      <c r="I212" s="444"/>
    </row>
    <row r="213" ht="15.75" customHeight="1">
      <c r="A213" s="444"/>
      <c r="B213" s="444"/>
      <c r="C213" s="444"/>
      <c r="D213" s="444"/>
      <c r="E213" s="460"/>
      <c r="F213" s="444"/>
      <c r="G213" s="444"/>
      <c r="H213" s="444"/>
      <c r="I213" s="444"/>
    </row>
    <row r="214" ht="15.75" customHeight="1">
      <c r="A214" s="444"/>
      <c r="B214" s="444"/>
      <c r="C214" s="444"/>
      <c r="D214" s="444"/>
      <c r="E214" s="460"/>
      <c r="F214" s="444"/>
      <c r="G214" s="444"/>
      <c r="H214" s="444"/>
      <c r="I214" s="444"/>
    </row>
    <row r="215" ht="15.75" customHeight="1">
      <c r="A215" s="444"/>
      <c r="B215" s="444"/>
      <c r="C215" s="444"/>
      <c r="D215" s="444"/>
      <c r="E215" s="460"/>
      <c r="F215" s="444"/>
      <c r="G215" s="444"/>
      <c r="H215" s="444"/>
      <c r="I215" s="444"/>
    </row>
    <row r="216" ht="15.75" customHeight="1">
      <c r="A216" s="444"/>
      <c r="B216" s="444"/>
      <c r="C216" s="444"/>
      <c r="D216" s="444"/>
      <c r="E216" s="460"/>
      <c r="F216" s="444"/>
      <c r="G216" s="444"/>
      <c r="H216" s="444"/>
      <c r="I216" s="444"/>
    </row>
    <row r="217" ht="15.75" customHeight="1">
      <c r="A217" s="444"/>
      <c r="B217" s="444"/>
      <c r="C217" s="444"/>
      <c r="D217" s="444"/>
      <c r="E217" s="460"/>
      <c r="F217" s="444"/>
      <c r="G217" s="444"/>
      <c r="H217" s="444"/>
      <c r="I217" s="444"/>
    </row>
    <row r="218" ht="15.75" customHeight="1">
      <c r="A218" s="444"/>
      <c r="B218" s="444"/>
      <c r="C218" s="444"/>
      <c r="D218" s="444"/>
      <c r="E218" s="460"/>
      <c r="F218" s="444"/>
      <c r="G218" s="444"/>
      <c r="H218" s="444"/>
      <c r="I218" s="444"/>
    </row>
    <row r="219" ht="15.75" customHeight="1">
      <c r="A219" s="444"/>
      <c r="B219" s="444"/>
      <c r="C219" s="444"/>
      <c r="D219" s="444"/>
      <c r="E219" s="460"/>
      <c r="F219" s="444"/>
      <c r="G219" s="444"/>
      <c r="H219" s="444"/>
      <c r="I219" s="444"/>
    </row>
    <row r="220" ht="15.75" customHeight="1">
      <c r="A220" s="444"/>
      <c r="B220" s="444"/>
      <c r="C220" s="444"/>
      <c r="D220" s="444"/>
      <c r="E220" s="460"/>
      <c r="F220" s="444"/>
      <c r="G220" s="444"/>
      <c r="H220" s="444"/>
      <c r="I220" s="444"/>
    </row>
    <row r="221" ht="15.75" customHeight="1">
      <c r="A221" s="444"/>
      <c r="B221" s="444"/>
      <c r="C221" s="444"/>
      <c r="D221" s="444"/>
      <c r="E221" s="460"/>
      <c r="F221" s="444"/>
      <c r="G221" s="444"/>
      <c r="H221" s="444"/>
      <c r="I221" s="444"/>
    </row>
    <row r="222" ht="15.75" customHeight="1">
      <c r="A222" s="444"/>
      <c r="B222" s="444"/>
      <c r="C222" s="444"/>
      <c r="D222" s="444"/>
      <c r="E222" s="460"/>
      <c r="F222" s="444"/>
      <c r="G222" s="444"/>
      <c r="H222" s="444"/>
      <c r="I222" s="444"/>
    </row>
    <row r="223" ht="15.75" customHeight="1">
      <c r="A223" s="444"/>
      <c r="B223" s="444"/>
      <c r="C223" s="444"/>
      <c r="D223" s="444"/>
      <c r="E223" s="460"/>
      <c r="F223" s="444"/>
      <c r="G223" s="444"/>
      <c r="H223" s="444"/>
      <c r="I223" s="444"/>
    </row>
    <row r="224" ht="15.75" customHeight="1">
      <c r="A224" s="444"/>
      <c r="B224" s="444"/>
      <c r="C224" s="444"/>
      <c r="D224" s="444"/>
      <c r="E224" s="460"/>
      <c r="F224" s="444"/>
      <c r="G224" s="444"/>
      <c r="H224" s="444"/>
      <c r="I224" s="444"/>
    </row>
    <row r="225" ht="15.75" customHeight="1">
      <c r="A225" s="444"/>
      <c r="B225" s="444"/>
      <c r="C225" s="444"/>
      <c r="D225" s="444"/>
      <c r="E225" s="460"/>
      <c r="F225" s="444"/>
      <c r="G225" s="444"/>
      <c r="H225" s="444"/>
      <c r="I225" s="444"/>
    </row>
    <row r="226" ht="15.75" customHeight="1">
      <c r="A226" s="444"/>
      <c r="B226" s="444"/>
      <c r="C226" s="444"/>
      <c r="D226" s="444"/>
      <c r="E226" s="460"/>
      <c r="F226" s="444"/>
      <c r="G226" s="444"/>
      <c r="H226" s="444"/>
      <c r="I226" s="444"/>
    </row>
    <row r="227" ht="15.75" customHeight="1">
      <c r="A227" s="444"/>
      <c r="B227" s="444"/>
      <c r="C227" s="444"/>
      <c r="D227" s="444"/>
      <c r="E227" s="460"/>
      <c r="F227" s="444"/>
      <c r="G227" s="444"/>
      <c r="H227" s="444"/>
      <c r="I227" s="444"/>
    </row>
    <row r="228" ht="15.75" customHeight="1">
      <c r="A228" s="444"/>
      <c r="B228" s="444"/>
      <c r="C228" s="444"/>
      <c r="D228" s="444"/>
      <c r="E228" s="460"/>
      <c r="F228" s="444"/>
      <c r="G228" s="444"/>
      <c r="H228" s="444"/>
      <c r="I228" s="444"/>
    </row>
    <row r="229" ht="15.75" customHeight="1">
      <c r="A229" s="444"/>
      <c r="B229" s="444"/>
      <c r="C229" s="444"/>
      <c r="D229" s="444"/>
      <c r="E229" s="460"/>
      <c r="F229" s="444"/>
      <c r="G229" s="444"/>
      <c r="H229" s="444"/>
      <c r="I229" s="444"/>
    </row>
    <row r="230" ht="15.75" customHeight="1">
      <c r="A230" s="444"/>
      <c r="B230" s="444"/>
      <c r="C230" s="444"/>
      <c r="D230" s="444"/>
      <c r="E230" s="460"/>
      <c r="F230" s="444"/>
      <c r="G230" s="444"/>
      <c r="H230" s="444"/>
      <c r="I230" s="444"/>
    </row>
    <row r="231" ht="15.75" customHeight="1">
      <c r="A231" s="444"/>
      <c r="B231" s="444"/>
      <c r="C231" s="444"/>
      <c r="D231" s="444"/>
      <c r="E231" s="460"/>
      <c r="F231" s="444"/>
      <c r="G231" s="444"/>
      <c r="H231" s="444"/>
      <c r="I231" s="444"/>
    </row>
    <row r="232" ht="15.75" customHeight="1">
      <c r="A232" s="444"/>
      <c r="B232" s="444"/>
      <c r="C232" s="444"/>
      <c r="D232" s="444"/>
      <c r="E232" s="460"/>
      <c r="F232" s="444"/>
      <c r="G232" s="444"/>
      <c r="H232" s="444"/>
      <c r="I232" s="444"/>
    </row>
    <row r="233" ht="15.75" customHeight="1">
      <c r="A233" s="444"/>
      <c r="B233" s="444"/>
      <c r="C233" s="444"/>
      <c r="D233" s="444"/>
      <c r="E233" s="460"/>
      <c r="F233" s="444"/>
      <c r="G233" s="444"/>
      <c r="H233" s="444"/>
      <c r="I233" s="444"/>
    </row>
    <row r="234" ht="15.75" customHeight="1">
      <c r="A234" s="444"/>
      <c r="B234" s="444"/>
      <c r="C234" s="444"/>
      <c r="D234" s="444"/>
      <c r="E234" s="460"/>
      <c r="F234" s="444"/>
      <c r="G234" s="444"/>
      <c r="H234" s="444"/>
      <c r="I234" s="444"/>
    </row>
    <row r="235" ht="15.75" customHeight="1">
      <c r="A235" s="444"/>
      <c r="B235" s="444"/>
      <c r="C235" s="444"/>
      <c r="D235" s="444"/>
      <c r="E235" s="460"/>
      <c r="F235" s="444"/>
      <c r="G235" s="444"/>
      <c r="H235" s="444"/>
      <c r="I235" s="444"/>
    </row>
    <row r="236" ht="15.75" customHeight="1">
      <c r="A236" s="444"/>
      <c r="B236" s="444"/>
      <c r="C236" s="444"/>
      <c r="D236" s="444"/>
      <c r="E236" s="460"/>
      <c r="F236" s="444"/>
      <c r="G236" s="444"/>
      <c r="H236" s="444"/>
      <c r="I236" s="444"/>
    </row>
    <row r="237" ht="15.75" customHeight="1">
      <c r="A237" s="444"/>
      <c r="B237" s="444"/>
      <c r="C237" s="444"/>
      <c r="D237" s="444"/>
      <c r="E237" s="460"/>
      <c r="F237" s="444"/>
      <c r="G237" s="444"/>
      <c r="H237" s="444"/>
      <c r="I237" s="444"/>
    </row>
    <row r="238" ht="15.75" customHeight="1">
      <c r="A238" s="444"/>
      <c r="B238" s="444"/>
      <c r="C238" s="444"/>
      <c r="D238" s="444"/>
      <c r="E238" s="460"/>
      <c r="F238" s="444"/>
      <c r="G238" s="444"/>
      <c r="H238" s="444"/>
      <c r="I238" s="444"/>
    </row>
    <row r="239" ht="15.75" customHeight="1">
      <c r="A239" s="444"/>
      <c r="B239" s="444"/>
      <c r="C239" s="444"/>
      <c r="D239" s="444"/>
      <c r="E239" s="460"/>
      <c r="F239" s="444"/>
      <c r="G239" s="444"/>
      <c r="H239" s="444"/>
      <c r="I239" s="444"/>
    </row>
    <row r="240" ht="15.75" customHeight="1">
      <c r="A240" s="444"/>
      <c r="B240" s="444"/>
      <c r="C240" s="444"/>
      <c r="D240" s="444"/>
      <c r="E240" s="460"/>
      <c r="F240" s="444"/>
      <c r="G240" s="444"/>
      <c r="H240" s="444"/>
      <c r="I240" s="444"/>
    </row>
    <row r="241" ht="15.75" customHeight="1">
      <c r="A241" s="444"/>
      <c r="B241" s="444"/>
      <c r="C241" s="444"/>
      <c r="D241" s="444"/>
      <c r="E241" s="460"/>
      <c r="F241" s="444"/>
      <c r="G241" s="444"/>
      <c r="H241" s="444"/>
      <c r="I241" s="444"/>
    </row>
    <row r="242" ht="15.75" customHeight="1">
      <c r="A242" s="444"/>
      <c r="B242" s="444"/>
      <c r="C242" s="444"/>
      <c r="D242" s="444"/>
      <c r="E242" s="460"/>
      <c r="F242" s="444"/>
      <c r="G242" s="444"/>
      <c r="H242" s="444"/>
      <c r="I242" s="444"/>
    </row>
    <row r="243" ht="15.75" customHeight="1">
      <c r="A243" s="444"/>
      <c r="B243" s="444"/>
      <c r="C243" s="444"/>
      <c r="D243" s="444"/>
      <c r="E243" s="460"/>
      <c r="F243" s="444"/>
      <c r="G243" s="444"/>
      <c r="H243" s="444"/>
      <c r="I243" s="444"/>
    </row>
    <row r="244" ht="15.75" customHeight="1">
      <c r="A244" s="444"/>
      <c r="B244" s="444"/>
      <c r="C244" s="444"/>
      <c r="D244" s="444"/>
      <c r="E244" s="460"/>
      <c r="F244" s="444"/>
      <c r="G244" s="444"/>
      <c r="H244" s="444"/>
      <c r="I244" s="444"/>
    </row>
    <row r="245" ht="15.75" customHeight="1">
      <c r="A245" s="444"/>
      <c r="B245" s="444"/>
      <c r="C245" s="444"/>
      <c r="D245" s="444"/>
      <c r="E245" s="460"/>
      <c r="F245" s="444"/>
      <c r="G245" s="444"/>
      <c r="H245" s="444"/>
      <c r="I245" s="444"/>
    </row>
    <row r="246" ht="15.75" customHeight="1">
      <c r="A246" s="444"/>
      <c r="B246" s="444"/>
      <c r="C246" s="444"/>
      <c r="D246" s="444"/>
      <c r="E246" s="460"/>
      <c r="F246" s="444"/>
      <c r="G246" s="444"/>
      <c r="H246" s="444"/>
      <c r="I246" s="444"/>
    </row>
    <row r="247" ht="15.75" customHeight="1">
      <c r="A247" s="444"/>
      <c r="B247" s="444"/>
      <c r="C247" s="444"/>
      <c r="D247" s="444"/>
      <c r="E247" s="460"/>
      <c r="F247" s="444"/>
      <c r="G247" s="444"/>
      <c r="H247" s="444"/>
      <c r="I247" s="444"/>
    </row>
    <row r="248" ht="15.75" customHeight="1">
      <c r="A248" s="444"/>
      <c r="B248" s="444"/>
      <c r="C248" s="444"/>
      <c r="D248" s="444"/>
      <c r="E248" s="460"/>
      <c r="F248" s="444"/>
      <c r="G248" s="444"/>
      <c r="H248" s="444"/>
      <c r="I248" s="444"/>
    </row>
    <row r="249" ht="15.75" customHeight="1">
      <c r="A249" s="444"/>
      <c r="B249" s="444"/>
      <c r="C249" s="444"/>
      <c r="D249" s="444"/>
      <c r="E249" s="460"/>
      <c r="F249" s="444"/>
      <c r="G249" s="444"/>
      <c r="H249" s="444"/>
      <c r="I249" s="444"/>
    </row>
    <row r="250" ht="15.75" customHeight="1">
      <c r="A250" s="444"/>
      <c r="B250" s="444"/>
      <c r="C250" s="444"/>
      <c r="D250" s="444"/>
      <c r="E250" s="460"/>
      <c r="F250" s="444"/>
      <c r="G250" s="444"/>
      <c r="H250" s="444"/>
      <c r="I250" s="444"/>
    </row>
    <row r="251" ht="15.75" customHeight="1">
      <c r="A251" s="444"/>
      <c r="B251" s="444"/>
      <c r="C251" s="444"/>
      <c r="D251" s="444"/>
      <c r="E251" s="460"/>
      <c r="F251" s="444"/>
      <c r="G251" s="444"/>
      <c r="H251" s="444"/>
      <c r="I251" s="444"/>
    </row>
    <row r="252" ht="15.75" customHeight="1">
      <c r="A252" s="444"/>
      <c r="B252" s="444"/>
      <c r="C252" s="444"/>
      <c r="D252" s="444"/>
      <c r="E252" s="460"/>
      <c r="F252" s="444"/>
      <c r="G252" s="444"/>
      <c r="H252" s="444"/>
      <c r="I252" s="444"/>
    </row>
    <row r="253" ht="15.75" customHeight="1">
      <c r="A253" s="444"/>
      <c r="B253" s="444"/>
      <c r="C253" s="444"/>
      <c r="D253" s="444"/>
      <c r="E253" s="460"/>
      <c r="F253" s="444"/>
      <c r="G253" s="444"/>
      <c r="H253" s="444"/>
      <c r="I253" s="444"/>
    </row>
    <row r="254" ht="15.75" customHeight="1">
      <c r="A254" s="444"/>
      <c r="B254" s="444"/>
      <c r="C254" s="444"/>
      <c r="D254" s="444"/>
      <c r="E254" s="460"/>
      <c r="F254" s="444"/>
      <c r="G254" s="444"/>
      <c r="H254" s="444"/>
      <c r="I254" s="444"/>
    </row>
    <row r="255" ht="15.75" customHeight="1">
      <c r="A255" s="444"/>
      <c r="B255" s="444"/>
      <c r="C255" s="444"/>
      <c r="D255" s="444"/>
      <c r="E255" s="460"/>
      <c r="F255" s="444"/>
      <c r="G255" s="444"/>
      <c r="H255" s="444"/>
      <c r="I255" s="444"/>
    </row>
    <row r="256" ht="15.75" customHeight="1">
      <c r="A256" s="444"/>
      <c r="B256" s="444"/>
      <c r="C256" s="444"/>
      <c r="D256" s="444"/>
      <c r="E256" s="460"/>
      <c r="F256" s="444"/>
      <c r="G256" s="444"/>
      <c r="H256" s="444"/>
      <c r="I256" s="444"/>
    </row>
    <row r="257" ht="15.75" customHeight="1">
      <c r="A257" s="444"/>
      <c r="B257" s="444"/>
      <c r="C257" s="444"/>
      <c r="D257" s="444"/>
      <c r="E257" s="460"/>
      <c r="F257" s="444"/>
      <c r="G257" s="444"/>
      <c r="H257" s="444"/>
      <c r="I257" s="444"/>
    </row>
    <row r="258" ht="15.75" customHeight="1">
      <c r="A258" s="444"/>
      <c r="B258" s="444"/>
      <c r="C258" s="444"/>
      <c r="D258" s="444"/>
      <c r="E258" s="460"/>
      <c r="F258" s="444"/>
      <c r="G258" s="444"/>
      <c r="H258" s="444"/>
      <c r="I258" s="444"/>
    </row>
    <row r="259" ht="15.75" customHeight="1">
      <c r="A259" s="444"/>
      <c r="B259" s="444"/>
      <c r="C259" s="444"/>
      <c r="D259" s="444"/>
      <c r="E259" s="460"/>
      <c r="F259" s="444"/>
      <c r="G259" s="444"/>
      <c r="H259" s="444"/>
      <c r="I259" s="444"/>
    </row>
    <row r="260" ht="15.75" customHeight="1">
      <c r="A260" s="444"/>
      <c r="B260" s="444"/>
      <c r="C260" s="444"/>
      <c r="D260" s="444"/>
      <c r="E260" s="460"/>
      <c r="F260" s="444"/>
      <c r="G260" s="444"/>
      <c r="H260" s="444"/>
      <c r="I260" s="444"/>
    </row>
    <row r="261" ht="15.75" customHeight="1">
      <c r="A261" s="444"/>
      <c r="B261" s="444"/>
      <c r="C261" s="444"/>
      <c r="D261" s="444"/>
      <c r="E261" s="460"/>
      <c r="F261" s="444"/>
      <c r="G261" s="444"/>
      <c r="H261" s="444"/>
      <c r="I261" s="444"/>
    </row>
    <row r="262" ht="15.75" customHeight="1">
      <c r="A262" s="444"/>
      <c r="B262" s="444"/>
      <c r="C262" s="444"/>
      <c r="D262" s="444"/>
      <c r="E262" s="460"/>
      <c r="F262" s="444"/>
      <c r="G262" s="444"/>
      <c r="H262" s="444"/>
      <c r="I262" s="444"/>
    </row>
    <row r="263" ht="15.75" customHeight="1">
      <c r="A263" s="444"/>
      <c r="B263" s="444"/>
      <c r="C263" s="444"/>
      <c r="D263" s="444"/>
      <c r="E263" s="460"/>
      <c r="F263" s="444"/>
      <c r="G263" s="444"/>
      <c r="H263" s="444"/>
      <c r="I263" s="444"/>
    </row>
    <row r="264" ht="15.75" customHeight="1">
      <c r="A264" s="444"/>
      <c r="B264" s="444"/>
      <c r="C264" s="444"/>
      <c r="D264" s="444"/>
      <c r="E264" s="460"/>
      <c r="F264" s="444"/>
      <c r="G264" s="444"/>
      <c r="H264" s="444"/>
      <c r="I264" s="444"/>
    </row>
    <row r="265" ht="15.75" customHeight="1">
      <c r="A265" s="444"/>
      <c r="B265" s="444"/>
      <c r="C265" s="444"/>
      <c r="D265" s="444"/>
      <c r="E265" s="460"/>
      <c r="F265" s="444"/>
      <c r="G265" s="444"/>
      <c r="H265" s="444"/>
      <c r="I265" s="444"/>
    </row>
    <row r="266" ht="15.75" customHeight="1">
      <c r="A266" s="444"/>
      <c r="B266" s="444"/>
      <c r="C266" s="444"/>
      <c r="D266" s="444"/>
      <c r="E266" s="460"/>
      <c r="F266" s="444"/>
      <c r="G266" s="444"/>
      <c r="H266" s="444"/>
      <c r="I266" s="444"/>
    </row>
    <row r="267" ht="15.75" customHeight="1">
      <c r="A267" s="444"/>
      <c r="B267" s="444"/>
      <c r="C267" s="444"/>
      <c r="D267" s="444"/>
      <c r="E267" s="460"/>
      <c r="F267" s="444"/>
      <c r="G267" s="444"/>
      <c r="H267" s="444"/>
      <c r="I267" s="444"/>
    </row>
    <row r="268" ht="15.75" customHeight="1">
      <c r="A268" s="444"/>
      <c r="B268" s="444"/>
      <c r="C268" s="444"/>
      <c r="D268" s="444"/>
      <c r="E268" s="460"/>
      <c r="F268" s="444"/>
      <c r="G268" s="444"/>
      <c r="H268" s="444"/>
      <c r="I268" s="444"/>
    </row>
    <row r="269" ht="15.75" customHeight="1">
      <c r="A269" s="444"/>
      <c r="B269" s="444"/>
      <c r="C269" s="444"/>
      <c r="D269" s="444"/>
      <c r="E269" s="460"/>
      <c r="F269" s="444"/>
      <c r="G269" s="444"/>
      <c r="H269" s="444"/>
      <c r="I269" s="444"/>
    </row>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2.63" defaultRowHeight="15.0"/>
  <cols>
    <col customWidth="1" min="1" max="1" width="30.0"/>
    <col customWidth="1" min="2" max="2" width="28.88"/>
    <col customWidth="1" min="3" max="3" width="12.38"/>
    <col customWidth="1" min="4" max="4" width="25.75"/>
    <col customWidth="1" min="5" max="5" width="19.88"/>
    <col customWidth="1" min="6" max="6" width="12.63"/>
    <col customWidth="1" min="7" max="7" width="19.63"/>
    <col customWidth="1" min="8" max="8" width="15.38"/>
    <col customWidth="1" min="9" max="9" width="19.88"/>
    <col customWidth="1" min="10" max="10" width="21.13"/>
  </cols>
  <sheetData>
    <row r="1" ht="15.75" customHeight="1">
      <c r="A1" s="512" t="s">
        <v>642</v>
      </c>
      <c r="C1" s="513" t="s">
        <v>643</v>
      </c>
      <c r="D1" s="514" t="s">
        <v>644</v>
      </c>
      <c r="E1" s="513" t="s">
        <v>645</v>
      </c>
      <c r="F1" s="515" t="s">
        <v>646</v>
      </c>
      <c r="G1" s="516" t="s">
        <v>647</v>
      </c>
      <c r="I1" s="517" t="s">
        <v>648</v>
      </c>
      <c r="J1" s="517" t="s">
        <v>649</v>
      </c>
      <c r="K1" s="518"/>
      <c r="L1" s="518"/>
      <c r="M1" s="518"/>
      <c r="N1" s="518"/>
      <c r="O1" s="518"/>
      <c r="P1" s="518"/>
      <c r="Q1" s="518"/>
      <c r="R1" s="518"/>
      <c r="S1" s="518"/>
      <c r="T1" s="518"/>
      <c r="U1" s="518"/>
      <c r="V1" s="518"/>
      <c r="W1" s="518"/>
      <c r="X1" s="518"/>
      <c r="Y1" s="518"/>
      <c r="Z1" s="518"/>
      <c r="AA1" s="518"/>
      <c r="AB1" s="518"/>
      <c r="AC1" s="518"/>
      <c r="AD1" s="518"/>
    </row>
    <row r="2" ht="15.75" customHeight="1">
      <c r="A2" s="519" t="s">
        <v>650</v>
      </c>
      <c r="C2" s="520"/>
      <c r="D2" s="521"/>
      <c r="E2" s="520"/>
      <c r="F2" s="522"/>
      <c r="G2" s="521"/>
      <c r="H2" s="520"/>
      <c r="I2" s="523"/>
      <c r="J2" s="523"/>
      <c r="K2" s="524"/>
      <c r="L2" s="525"/>
      <c r="M2" s="525"/>
      <c r="N2" s="525"/>
      <c r="O2" s="525"/>
      <c r="P2" s="525"/>
      <c r="Q2" s="525"/>
      <c r="R2" s="525"/>
      <c r="S2" s="525"/>
      <c r="T2" s="525"/>
      <c r="U2" s="525"/>
      <c r="V2" s="525"/>
      <c r="W2" s="525"/>
      <c r="X2" s="525"/>
      <c r="Y2" s="525"/>
      <c r="Z2" s="525"/>
      <c r="AA2" s="525"/>
      <c r="AB2" s="525"/>
      <c r="AC2" s="525"/>
      <c r="AD2" s="525"/>
    </row>
    <row r="3" ht="15.75" customHeight="1">
      <c r="A3" s="526" t="s">
        <v>651</v>
      </c>
      <c r="B3" s="527" t="s">
        <v>652</v>
      </c>
      <c r="C3" s="528"/>
      <c r="D3" s="529"/>
      <c r="E3" s="528"/>
      <c r="F3" s="530"/>
      <c r="G3" s="531"/>
      <c r="H3" s="531"/>
      <c r="I3" s="532"/>
      <c r="J3" s="532"/>
      <c r="K3" s="533"/>
      <c r="L3" s="533"/>
      <c r="M3" s="533"/>
      <c r="N3" s="533"/>
      <c r="O3" s="533"/>
      <c r="P3" s="533"/>
      <c r="Q3" s="533"/>
      <c r="R3" s="533"/>
      <c r="S3" s="533"/>
      <c r="T3" s="533"/>
      <c r="U3" s="533"/>
      <c r="V3" s="533"/>
      <c r="W3" s="533"/>
      <c r="X3" s="533"/>
      <c r="Y3" s="533"/>
      <c r="Z3" s="533"/>
      <c r="AA3" s="533"/>
      <c r="AB3" s="533"/>
      <c r="AC3" s="533"/>
      <c r="AD3" s="533"/>
    </row>
    <row r="4" ht="15.75" customHeight="1">
      <c r="A4" s="534" t="s">
        <v>653</v>
      </c>
      <c r="B4" s="535" t="s">
        <v>654</v>
      </c>
      <c r="C4" s="536">
        <v>48364.0</v>
      </c>
      <c r="D4" s="537">
        <v>5.0</v>
      </c>
      <c r="E4" s="537">
        <f t="shared" ref="E4:E8" si="1">D4*12</f>
        <v>60</v>
      </c>
      <c r="F4" s="538">
        <v>112101.0</v>
      </c>
      <c r="G4" s="537"/>
      <c r="H4" s="539">
        <v>0.0</v>
      </c>
      <c r="I4" s="540">
        <v>42887.0</v>
      </c>
      <c r="J4" s="540">
        <f t="shared" ref="J4:J9" si="2">EDATE(I4,E4)-1</f>
        <v>44712</v>
      </c>
      <c r="K4" s="541"/>
      <c r="L4" s="541"/>
      <c r="M4" s="541"/>
      <c r="N4" s="541"/>
      <c r="O4" s="541"/>
      <c r="P4" s="541"/>
      <c r="Q4" s="541"/>
      <c r="R4" s="541"/>
      <c r="S4" s="541"/>
      <c r="T4" s="541"/>
      <c r="U4" s="541"/>
      <c r="V4" s="541"/>
      <c r="W4" s="541"/>
      <c r="X4" s="541"/>
      <c r="Y4" s="541"/>
      <c r="Z4" s="541"/>
      <c r="AA4" s="541"/>
      <c r="AB4" s="541"/>
      <c r="AC4" s="541"/>
      <c r="AD4" s="541"/>
    </row>
    <row r="5" ht="15.75" customHeight="1">
      <c r="A5" s="534" t="s">
        <v>655</v>
      </c>
      <c r="B5" s="535" t="s">
        <v>656</v>
      </c>
      <c r="C5" s="536">
        <v>37938.0</v>
      </c>
      <c r="D5" s="537">
        <v>5.0</v>
      </c>
      <c r="E5" s="537">
        <f t="shared" si="1"/>
        <v>60</v>
      </c>
      <c r="F5" s="538">
        <v>112101.0</v>
      </c>
      <c r="G5" s="537"/>
      <c r="H5" s="539">
        <v>0.0</v>
      </c>
      <c r="I5" s="540">
        <v>42948.0</v>
      </c>
      <c r="J5" s="540">
        <f t="shared" si="2"/>
        <v>44773</v>
      </c>
      <c r="K5" s="541"/>
      <c r="L5" s="541"/>
      <c r="M5" s="541"/>
      <c r="N5" s="541"/>
      <c r="O5" s="541"/>
      <c r="P5" s="541"/>
      <c r="Q5" s="541"/>
      <c r="R5" s="541"/>
      <c r="S5" s="541"/>
      <c r="T5" s="541"/>
      <c r="U5" s="541"/>
      <c r="V5" s="541"/>
      <c r="W5" s="541"/>
      <c r="X5" s="541"/>
      <c r="Y5" s="541"/>
      <c r="Z5" s="541"/>
      <c r="AA5" s="541"/>
      <c r="AB5" s="541"/>
      <c r="AC5" s="541"/>
      <c r="AD5" s="541"/>
    </row>
    <row r="6" ht="15.75" customHeight="1">
      <c r="A6" s="542" t="s">
        <v>657</v>
      </c>
      <c r="B6" s="543" t="s">
        <v>658</v>
      </c>
      <c r="C6" s="544">
        <v>49375.0</v>
      </c>
      <c r="D6" s="545">
        <v>7.0</v>
      </c>
      <c r="E6" s="545">
        <f t="shared" si="1"/>
        <v>84</v>
      </c>
      <c r="F6" s="546">
        <v>112101.0</v>
      </c>
      <c r="G6" s="545"/>
      <c r="H6" s="545">
        <f t="shared" ref="H6:H7" si="3">C6/D6</f>
        <v>7053.571429</v>
      </c>
      <c r="I6" s="547">
        <v>42948.0</v>
      </c>
      <c r="J6" s="547">
        <f t="shared" si="2"/>
        <v>45504</v>
      </c>
      <c r="K6" s="525"/>
      <c r="L6" s="525"/>
      <c r="M6" s="525"/>
      <c r="N6" s="525"/>
      <c r="O6" s="525"/>
      <c r="P6" s="525"/>
      <c r="Q6" s="525"/>
      <c r="R6" s="525"/>
      <c r="S6" s="525"/>
      <c r="T6" s="525"/>
      <c r="U6" s="525"/>
      <c r="V6" s="525"/>
      <c r="W6" s="525"/>
      <c r="X6" s="525"/>
      <c r="Y6" s="525"/>
      <c r="Z6" s="525"/>
      <c r="AA6" s="525"/>
      <c r="AB6" s="525"/>
      <c r="AC6" s="525"/>
      <c r="AD6" s="525"/>
    </row>
    <row r="7" ht="15.75" customHeight="1">
      <c r="A7" s="542" t="s">
        <v>659</v>
      </c>
      <c r="B7" s="543" t="s">
        <v>660</v>
      </c>
      <c r="C7" s="544">
        <v>63984.0</v>
      </c>
      <c r="D7" s="545">
        <v>5.0</v>
      </c>
      <c r="E7" s="545">
        <f t="shared" si="1"/>
        <v>60</v>
      </c>
      <c r="F7" s="546">
        <v>112101.0</v>
      </c>
      <c r="G7" s="545"/>
      <c r="H7" s="545">
        <f t="shared" si="3"/>
        <v>12796.8</v>
      </c>
      <c r="I7" s="547">
        <v>43221.0</v>
      </c>
      <c r="J7" s="547">
        <f t="shared" si="2"/>
        <v>45046</v>
      </c>
      <c r="K7" s="525"/>
      <c r="L7" s="525"/>
      <c r="M7" s="525"/>
      <c r="N7" s="525"/>
      <c r="O7" s="525"/>
      <c r="P7" s="525"/>
      <c r="Q7" s="525"/>
      <c r="R7" s="525"/>
      <c r="S7" s="525"/>
      <c r="T7" s="525"/>
      <c r="U7" s="525"/>
      <c r="V7" s="525"/>
      <c r="W7" s="525"/>
      <c r="X7" s="525"/>
      <c r="Y7" s="525"/>
      <c r="Z7" s="525"/>
      <c r="AA7" s="525"/>
      <c r="AB7" s="525"/>
      <c r="AC7" s="525"/>
      <c r="AD7" s="525"/>
    </row>
    <row r="8" ht="15.75" customHeight="1">
      <c r="A8" s="534" t="s">
        <v>661</v>
      </c>
      <c r="B8" s="535" t="s">
        <v>662</v>
      </c>
      <c r="C8" s="536">
        <v>76625.0</v>
      </c>
      <c r="D8" s="537">
        <v>5.0</v>
      </c>
      <c r="E8" s="537">
        <f t="shared" si="1"/>
        <v>60</v>
      </c>
      <c r="F8" s="538">
        <v>112101.0</v>
      </c>
      <c r="G8" s="537"/>
      <c r="H8" s="539">
        <v>0.0</v>
      </c>
      <c r="I8" s="540">
        <v>42950.0</v>
      </c>
      <c r="J8" s="540">
        <f t="shared" si="2"/>
        <v>44775</v>
      </c>
      <c r="K8" s="541"/>
      <c r="L8" s="541"/>
      <c r="M8" s="541"/>
      <c r="N8" s="541"/>
      <c r="O8" s="541"/>
      <c r="P8" s="541"/>
      <c r="Q8" s="541"/>
      <c r="R8" s="541"/>
      <c r="S8" s="541"/>
      <c r="T8" s="541"/>
      <c r="U8" s="541"/>
      <c r="V8" s="541"/>
      <c r="W8" s="541"/>
      <c r="X8" s="541"/>
      <c r="Y8" s="541"/>
      <c r="Z8" s="541"/>
      <c r="AA8" s="541"/>
      <c r="AB8" s="541"/>
      <c r="AC8" s="541"/>
      <c r="AD8" s="541"/>
    </row>
    <row r="9" ht="15.75" customHeight="1">
      <c r="A9" s="548" t="s">
        <v>663</v>
      </c>
      <c r="B9" s="549" t="s">
        <v>664</v>
      </c>
      <c r="C9" s="550">
        <v>307513.0</v>
      </c>
      <c r="D9" s="551">
        <v>5.0</v>
      </c>
      <c r="E9" s="545">
        <f>D9*12</f>
        <v>60</v>
      </c>
      <c r="F9" s="546">
        <v>112101.0</v>
      </c>
      <c r="G9" s="545"/>
      <c r="H9" s="545">
        <f t="shared" ref="H9:H12" si="4">C9/D9</f>
        <v>61502.6</v>
      </c>
      <c r="I9" s="552">
        <v>43739.0</v>
      </c>
      <c r="J9" s="547">
        <f t="shared" si="2"/>
        <v>45565</v>
      </c>
      <c r="K9" s="525"/>
      <c r="L9" s="525"/>
      <c r="M9" s="525"/>
      <c r="N9" s="525"/>
      <c r="O9" s="525"/>
      <c r="P9" s="525"/>
      <c r="Q9" s="525"/>
      <c r="R9" s="525"/>
      <c r="S9" s="525"/>
      <c r="T9" s="525"/>
      <c r="U9" s="525"/>
      <c r="V9" s="525"/>
      <c r="W9" s="525"/>
      <c r="X9" s="525"/>
      <c r="Y9" s="525"/>
      <c r="Z9" s="525"/>
      <c r="AA9" s="525"/>
      <c r="AB9" s="525"/>
      <c r="AC9" s="525"/>
      <c r="AD9" s="525"/>
    </row>
    <row r="10" ht="15.75" customHeight="1">
      <c r="A10" s="548" t="s">
        <v>665</v>
      </c>
      <c r="B10" s="549" t="s">
        <v>666</v>
      </c>
      <c r="C10" s="550">
        <v>21500.0</v>
      </c>
      <c r="D10" s="551">
        <v>3.0</v>
      </c>
      <c r="E10" s="545">
        <f>12*3</f>
        <v>36</v>
      </c>
      <c r="F10" s="546">
        <v>112101.0</v>
      </c>
      <c r="G10" s="545"/>
      <c r="H10" s="545">
        <f t="shared" si="4"/>
        <v>7166.666667</v>
      </c>
      <c r="I10" s="552">
        <v>44197.0</v>
      </c>
      <c r="J10" s="552">
        <v>45291.0</v>
      </c>
      <c r="K10" s="525"/>
      <c r="L10" s="525"/>
      <c r="M10" s="525"/>
      <c r="N10" s="525"/>
      <c r="O10" s="525"/>
      <c r="P10" s="525"/>
      <c r="Q10" s="525"/>
      <c r="R10" s="525"/>
      <c r="S10" s="525"/>
      <c r="T10" s="525"/>
      <c r="U10" s="525"/>
      <c r="V10" s="525"/>
      <c r="W10" s="525"/>
      <c r="X10" s="525"/>
      <c r="Y10" s="525"/>
      <c r="Z10" s="525"/>
      <c r="AA10" s="525"/>
      <c r="AB10" s="525"/>
      <c r="AC10" s="525"/>
      <c r="AD10" s="525"/>
    </row>
    <row r="11" ht="15.75" customHeight="1">
      <c r="A11" s="553" t="s">
        <v>667</v>
      </c>
      <c r="B11" s="554" t="s">
        <v>668</v>
      </c>
      <c r="C11" s="551">
        <v>876277.0</v>
      </c>
      <c r="D11" s="551">
        <v>7.0</v>
      </c>
      <c r="E11" s="555">
        <f t="shared" ref="E11:E12" si="5">D11*12</f>
        <v>84</v>
      </c>
      <c r="F11" s="546">
        <v>112101.0</v>
      </c>
      <c r="G11" s="545"/>
      <c r="H11" s="545">
        <f t="shared" si="4"/>
        <v>125182.4286</v>
      </c>
      <c r="I11" s="552">
        <v>44439.0</v>
      </c>
      <c r="J11" s="547">
        <f>EDATE(I11,E11)-1</f>
        <v>46995</v>
      </c>
      <c r="K11" s="525"/>
      <c r="L11" s="525"/>
      <c r="M11" s="525"/>
      <c r="N11" s="525"/>
      <c r="O11" s="525"/>
      <c r="P11" s="525"/>
      <c r="Q11" s="525"/>
      <c r="R11" s="525"/>
      <c r="S11" s="525"/>
      <c r="T11" s="525"/>
      <c r="U11" s="525"/>
      <c r="V11" s="525"/>
      <c r="W11" s="525"/>
      <c r="X11" s="525"/>
      <c r="Y11" s="525"/>
      <c r="Z11" s="525"/>
      <c r="AA11" s="525"/>
      <c r="AB11" s="525"/>
      <c r="AC11" s="525"/>
      <c r="AD11" s="525"/>
    </row>
    <row r="12" ht="15.75" customHeight="1">
      <c r="A12" s="553" t="s">
        <v>669</v>
      </c>
      <c r="B12" s="554" t="s">
        <v>670</v>
      </c>
      <c r="C12" s="551">
        <v>155700.0</v>
      </c>
      <c r="D12" s="551">
        <v>5.0</v>
      </c>
      <c r="E12" s="555">
        <f t="shared" si="5"/>
        <v>60</v>
      </c>
      <c r="F12" s="546">
        <v>112101.0</v>
      </c>
      <c r="G12" s="545"/>
      <c r="H12" s="545">
        <f t="shared" si="4"/>
        <v>31140</v>
      </c>
      <c r="I12" s="552">
        <v>44774.0</v>
      </c>
      <c r="J12" s="552">
        <v>46599.0</v>
      </c>
      <c r="K12" s="525"/>
      <c r="L12" s="525"/>
      <c r="M12" s="525"/>
      <c r="N12" s="525"/>
      <c r="O12" s="525"/>
      <c r="P12" s="525"/>
      <c r="Q12" s="525"/>
      <c r="R12" s="525"/>
      <c r="S12" s="525"/>
      <c r="T12" s="525"/>
      <c r="U12" s="525"/>
      <c r="V12" s="525"/>
      <c r="W12" s="525"/>
      <c r="X12" s="525"/>
      <c r="Y12" s="525"/>
      <c r="Z12" s="525"/>
      <c r="AA12" s="525"/>
      <c r="AB12" s="525"/>
      <c r="AC12" s="525"/>
      <c r="AD12" s="525"/>
    </row>
    <row r="13" ht="15.75" customHeight="1">
      <c r="A13" s="556" t="s">
        <v>19</v>
      </c>
      <c r="B13" s="527"/>
      <c r="C13" s="557"/>
      <c r="D13" s="531"/>
      <c r="E13" s="531"/>
      <c r="F13" s="530"/>
      <c r="G13" s="558" t="s">
        <v>19</v>
      </c>
      <c r="H13" s="531">
        <f>sum(H4:H12)</f>
        <v>244842.0667</v>
      </c>
      <c r="I13" s="559"/>
      <c r="J13" s="559"/>
      <c r="K13" s="533"/>
      <c r="L13" s="533"/>
      <c r="M13" s="533"/>
      <c r="N13" s="533"/>
      <c r="O13" s="533"/>
      <c r="P13" s="533"/>
      <c r="Q13" s="533"/>
      <c r="R13" s="533"/>
      <c r="S13" s="533"/>
      <c r="T13" s="533"/>
      <c r="U13" s="533"/>
      <c r="V13" s="533"/>
      <c r="W13" s="533"/>
      <c r="X13" s="533"/>
      <c r="Y13" s="533"/>
      <c r="Z13" s="533"/>
      <c r="AA13" s="533"/>
      <c r="AB13" s="533"/>
      <c r="AC13" s="533"/>
      <c r="AD13" s="533"/>
    </row>
    <row r="14" ht="15.75" customHeight="1">
      <c r="A14" s="560" t="s">
        <v>671</v>
      </c>
      <c r="C14" s="561"/>
      <c r="D14" s="561"/>
      <c r="E14" s="562"/>
      <c r="G14" s="562"/>
      <c r="H14" s="561"/>
      <c r="I14" s="562"/>
      <c r="K14" s="519"/>
      <c r="L14" s="519"/>
      <c r="N14" s="519"/>
      <c r="P14" s="519"/>
      <c r="R14" s="519"/>
      <c r="T14" s="519"/>
      <c r="V14" s="519"/>
      <c r="X14" s="519"/>
      <c r="Z14" s="519"/>
      <c r="AB14" s="519"/>
      <c r="AD14" s="519"/>
    </row>
    <row r="15" ht="15.75" customHeight="1">
      <c r="A15" s="563" t="s">
        <v>672</v>
      </c>
      <c r="B15" s="564" t="s">
        <v>673</v>
      </c>
      <c r="C15" s="539">
        <v>31580.0</v>
      </c>
      <c r="D15" s="565">
        <v>3.0</v>
      </c>
      <c r="E15" s="566">
        <f t="shared" ref="E15:E16" si="6">D15*12</f>
        <v>36</v>
      </c>
      <c r="F15" s="538">
        <v>112110.0</v>
      </c>
      <c r="G15" s="567"/>
      <c r="H15" s="539">
        <v>0.0</v>
      </c>
      <c r="I15" s="568" t="s">
        <v>674</v>
      </c>
      <c r="J15" s="540">
        <f t="shared" ref="J15:J18" si="7">EDATE(I15,E15)-1</f>
        <v>44895</v>
      </c>
      <c r="K15" s="541"/>
      <c r="L15" s="569"/>
      <c r="M15" s="541"/>
      <c r="N15" s="569"/>
      <c r="O15" s="541"/>
      <c r="P15" s="569"/>
      <c r="Q15" s="541"/>
      <c r="R15" s="569"/>
      <c r="S15" s="541"/>
      <c r="T15" s="569"/>
      <c r="U15" s="541"/>
      <c r="V15" s="569"/>
      <c r="W15" s="541"/>
      <c r="X15" s="569"/>
      <c r="Y15" s="541"/>
      <c r="Z15" s="569"/>
      <c r="AA15" s="541"/>
      <c r="AB15" s="569"/>
      <c r="AC15" s="541"/>
      <c r="AD15" s="569"/>
    </row>
    <row r="16" ht="15.75" customHeight="1">
      <c r="A16" s="542" t="s">
        <v>675</v>
      </c>
      <c r="B16" s="543" t="s">
        <v>676</v>
      </c>
      <c r="C16" s="544">
        <v>226615.0</v>
      </c>
      <c r="D16" s="545">
        <v>5.0</v>
      </c>
      <c r="E16" s="545">
        <f t="shared" si="6"/>
        <v>60</v>
      </c>
      <c r="F16" s="546">
        <v>112110.0</v>
      </c>
      <c r="G16" s="545"/>
      <c r="H16" s="545">
        <f t="shared" ref="H16:H18" si="8">C16/D16</f>
        <v>45323</v>
      </c>
      <c r="I16" s="547">
        <v>43344.0</v>
      </c>
      <c r="J16" s="547">
        <f t="shared" si="7"/>
        <v>45169</v>
      </c>
      <c r="K16" s="525"/>
      <c r="L16" s="525"/>
      <c r="M16" s="525"/>
      <c r="N16" s="525"/>
      <c r="O16" s="525"/>
      <c r="P16" s="525"/>
      <c r="Q16" s="525"/>
      <c r="R16" s="525"/>
      <c r="S16" s="525"/>
      <c r="T16" s="525"/>
      <c r="U16" s="525"/>
      <c r="V16" s="525"/>
      <c r="W16" s="525"/>
      <c r="X16" s="525"/>
      <c r="Y16" s="525"/>
      <c r="Z16" s="525"/>
      <c r="AA16" s="525"/>
      <c r="AB16" s="525"/>
      <c r="AC16" s="525"/>
      <c r="AD16" s="525"/>
    </row>
    <row r="17">
      <c r="A17" s="553">
        <v>143.0</v>
      </c>
      <c r="B17" s="554" t="s">
        <v>677</v>
      </c>
      <c r="C17" s="551">
        <v>312038.0</v>
      </c>
      <c r="D17" s="551">
        <v>5.0</v>
      </c>
      <c r="E17" s="555">
        <f t="shared" ref="E17:E18" si="9">D17*12</f>
        <v>60</v>
      </c>
      <c r="F17" s="546">
        <v>112110.0</v>
      </c>
      <c r="H17" s="545">
        <f t="shared" si="8"/>
        <v>62407.6</v>
      </c>
      <c r="I17" s="552">
        <v>44437.0</v>
      </c>
      <c r="J17" s="547">
        <f t="shared" si="7"/>
        <v>46262</v>
      </c>
    </row>
    <row r="18" ht="15.75" customHeight="1">
      <c r="A18" s="553" t="s">
        <v>678</v>
      </c>
      <c r="B18" s="554" t="s">
        <v>679</v>
      </c>
      <c r="C18" s="551">
        <v>227280.0</v>
      </c>
      <c r="D18" s="551">
        <v>5.0</v>
      </c>
      <c r="E18" s="555">
        <f t="shared" si="9"/>
        <v>60</v>
      </c>
      <c r="F18" s="546">
        <v>112110.0</v>
      </c>
      <c r="G18" s="570"/>
      <c r="H18" s="545">
        <f t="shared" si="8"/>
        <v>45456</v>
      </c>
      <c r="I18" s="552">
        <v>44438.0</v>
      </c>
      <c r="J18" s="547">
        <f t="shared" si="7"/>
        <v>46263</v>
      </c>
      <c r="K18" s="525"/>
      <c r="L18" s="525"/>
      <c r="M18" s="525"/>
      <c r="N18" s="525"/>
      <c r="O18" s="525"/>
      <c r="P18" s="525"/>
      <c r="Q18" s="525"/>
      <c r="R18" s="525"/>
      <c r="S18" s="525"/>
      <c r="T18" s="525"/>
      <c r="U18" s="525"/>
      <c r="V18" s="525"/>
      <c r="W18" s="525"/>
      <c r="X18" s="525"/>
      <c r="Y18" s="525"/>
      <c r="Z18" s="525"/>
      <c r="AA18" s="525"/>
      <c r="AB18" s="525"/>
      <c r="AC18" s="525"/>
      <c r="AD18" s="525"/>
    </row>
    <row r="19" ht="15.75" customHeight="1">
      <c r="A19" s="571" t="s">
        <v>19</v>
      </c>
      <c r="B19" s="525"/>
      <c r="C19" s="545"/>
      <c r="D19" s="572"/>
      <c r="E19" s="555"/>
      <c r="F19" s="573"/>
      <c r="G19" s="558" t="s">
        <v>19</v>
      </c>
      <c r="H19" s="531">
        <f>sum(H15:H18)</f>
        <v>153186.6</v>
      </c>
      <c r="I19" s="555"/>
      <c r="J19" s="555"/>
      <c r="K19" s="525"/>
      <c r="L19" s="571"/>
      <c r="M19" s="525"/>
      <c r="N19" s="571"/>
      <c r="O19" s="525"/>
      <c r="P19" s="571"/>
      <c r="Q19" s="525"/>
      <c r="R19" s="571"/>
      <c r="S19" s="525"/>
      <c r="T19" s="571"/>
      <c r="U19" s="525"/>
      <c r="V19" s="571"/>
      <c r="W19" s="525"/>
      <c r="X19" s="571"/>
      <c r="Y19" s="525"/>
      <c r="Z19" s="571"/>
      <c r="AA19" s="525"/>
      <c r="AB19" s="571"/>
      <c r="AC19" s="525"/>
      <c r="AD19" s="571"/>
    </row>
    <row r="20" ht="15.75" customHeight="1">
      <c r="A20" s="560" t="s">
        <v>680</v>
      </c>
      <c r="C20" s="561"/>
      <c r="D20" s="561"/>
      <c r="E20" s="562"/>
      <c r="G20" s="562"/>
      <c r="H20" s="561"/>
      <c r="I20" s="562"/>
      <c r="K20" s="519"/>
      <c r="L20" s="519"/>
      <c r="N20" s="519"/>
      <c r="P20" s="519"/>
      <c r="R20" s="519"/>
      <c r="T20" s="519"/>
      <c r="V20" s="519"/>
      <c r="X20" s="519"/>
      <c r="Z20" s="519"/>
      <c r="AB20" s="519"/>
      <c r="AD20" s="519"/>
    </row>
    <row r="21" ht="18.0" customHeight="1">
      <c r="A21" s="548" t="s">
        <v>669</v>
      </c>
      <c r="B21" s="549" t="s">
        <v>681</v>
      </c>
      <c r="C21" s="550">
        <v>367200.0</v>
      </c>
      <c r="D21" s="574">
        <v>7.0</v>
      </c>
      <c r="E21" s="574">
        <f>D21*12</f>
        <v>84</v>
      </c>
      <c r="F21" s="575">
        <v>162102.0</v>
      </c>
      <c r="G21" s="576"/>
      <c r="H21" s="545">
        <f>C21/D21/2</f>
        <v>26228.57143</v>
      </c>
      <c r="I21" s="577">
        <v>45108.0</v>
      </c>
      <c r="J21" s="578">
        <v>47664.0</v>
      </c>
      <c r="K21" s="543"/>
      <c r="L21" s="542"/>
      <c r="M21" s="543"/>
      <c r="N21" s="542"/>
      <c r="O21" s="543"/>
      <c r="P21" s="542"/>
      <c r="Q21" s="543"/>
      <c r="R21" s="542"/>
      <c r="S21" s="543"/>
      <c r="T21" s="542"/>
      <c r="U21" s="543"/>
      <c r="V21" s="542"/>
      <c r="W21" s="543"/>
      <c r="X21" s="542"/>
      <c r="Y21" s="543"/>
      <c r="Z21" s="542"/>
      <c r="AA21" s="543"/>
      <c r="AB21" s="542"/>
      <c r="AC21" s="543"/>
      <c r="AD21" s="542"/>
    </row>
    <row r="22" ht="15.75" customHeight="1">
      <c r="A22" s="579" t="s">
        <v>19</v>
      </c>
      <c r="B22" s="525"/>
      <c r="C22" s="580"/>
      <c r="D22" s="572"/>
      <c r="E22" s="581"/>
      <c r="F22" s="582"/>
      <c r="G22" s="558" t="s">
        <v>19</v>
      </c>
      <c r="H22" s="528">
        <f>SUM(H21)</f>
        <v>26228.57143</v>
      </c>
      <c r="I22" s="583"/>
      <c r="J22" s="583"/>
      <c r="K22" s="525"/>
      <c r="L22" s="579"/>
      <c r="M22" s="525"/>
      <c r="N22" s="579"/>
      <c r="O22" s="525"/>
      <c r="P22" s="579"/>
      <c r="Q22" s="525"/>
      <c r="R22" s="579"/>
      <c r="S22" s="525"/>
      <c r="T22" s="579"/>
      <c r="U22" s="525"/>
      <c r="V22" s="579"/>
      <c r="W22" s="525"/>
      <c r="X22" s="579"/>
      <c r="Y22" s="525"/>
      <c r="Z22" s="579"/>
      <c r="AA22" s="525"/>
      <c r="AB22" s="579"/>
      <c r="AC22" s="525"/>
      <c r="AD22" s="579"/>
    </row>
    <row r="23" ht="15.75" customHeight="1">
      <c r="A23" s="560" t="s">
        <v>682</v>
      </c>
      <c r="C23" s="561"/>
      <c r="D23" s="561"/>
      <c r="E23" s="562"/>
      <c r="G23" s="562"/>
      <c r="H23" s="561"/>
      <c r="I23" s="562"/>
      <c r="K23" s="519"/>
      <c r="L23" s="519"/>
      <c r="N23" s="519"/>
      <c r="P23" s="519"/>
      <c r="R23" s="519"/>
      <c r="T23" s="519"/>
      <c r="V23" s="519"/>
      <c r="X23" s="519"/>
      <c r="Z23" s="519"/>
      <c r="AB23" s="519"/>
      <c r="AD23" s="519"/>
    </row>
    <row r="24" ht="18.0" customHeight="1">
      <c r="A24" s="534" t="s">
        <v>683</v>
      </c>
      <c r="B24" s="535" t="s">
        <v>684</v>
      </c>
      <c r="C24" s="536">
        <v>49125.0</v>
      </c>
      <c r="D24" s="584">
        <v>5.0</v>
      </c>
      <c r="E24" s="585">
        <f>D24*12</f>
        <v>60</v>
      </c>
      <c r="F24" s="586">
        <v>162107.0</v>
      </c>
      <c r="G24" s="584"/>
      <c r="H24" s="587">
        <v>0.0</v>
      </c>
      <c r="I24" s="588">
        <v>43040.0</v>
      </c>
      <c r="J24" s="540">
        <f>EDATE(I24,E24)-1</f>
        <v>44865</v>
      </c>
      <c r="K24" s="535"/>
      <c r="L24" s="534"/>
      <c r="M24" s="535"/>
      <c r="N24" s="534"/>
      <c r="O24" s="535"/>
      <c r="P24" s="534"/>
      <c r="Q24" s="535"/>
      <c r="R24" s="534"/>
      <c r="S24" s="535"/>
      <c r="T24" s="534"/>
      <c r="U24" s="535"/>
      <c r="V24" s="534"/>
      <c r="W24" s="535"/>
      <c r="X24" s="534"/>
      <c r="Y24" s="535"/>
      <c r="Z24" s="534"/>
      <c r="AA24" s="535"/>
      <c r="AB24" s="534"/>
      <c r="AC24" s="535"/>
      <c r="AD24" s="534"/>
    </row>
    <row r="25" ht="15.75" customHeight="1">
      <c r="A25" s="579" t="s">
        <v>19</v>
      </c>
      <c r="B25" s="525"/>
      <c r="C25" s="580"/>
      <c r="D25" s="572"/>
      <c r="E25" s="581"/>
      <c r="F25" s="582"/>
      <c r="G25" s="558" t="s">
        <v>19</v>
      </c>
      <c r="H25" s="528">
        <f>SUM(H24)</f>
        <v>0</v>
      </c>
      <c r="I25" s="583"/>
      <c r="J25" s="583"/>
      <c r="K25" s="525"/>
      <c r="L25" s="579"/>
      <c r="M25" s="525"/>
      <c r="N25" s="579"/>
      <c r="O25" s="525"/>
      <c r="P25" s="579"/>
      <c r="Q25" s="525"/>
      <c r="R25" s="579"/>
      <c r="S25" s="525"/>
      <c r="T25" s="579"/>
      <c r="U25" s="525"/>
      <c r="V25" s="579"/>
      <c r="W25" s="525"/>
      <c r="X25" s="579"/>
      <c r="Y25" s="525"/>
      <c r="Z25" s="579"/>
      <c r="AA25" s="525"/>
      <c r="AB25" s="579"/>
      <c r="AC25" s="525"/>
      <c r="AD25" s="579"/>
    </row>
    <row r="26" ht="15.75" customHeight="1">
      <c r="A26" s="589" t="s">
        <v>685</v>
      </c>
      <c r="C26" s="590"/>
      <c r="D26" s="590"/>
      <c r="E26" s="591"/>
      <c r="G26" s="592"/>
      <c r="H26" s="590"/>
      <c r="I26" s="593"/>
      <c r="K26" s="589"/>
      <c r="L26" s="594"/>
      <c r="N26" s="594"/>
      <c r="P26" s="594"/>
      <c r="R26" s="594"/>
      <c r="T26" s="594"/>
      <c r="V26" s="594"/>
      <c r="X26" s="594"/>
      <c r="Z26" s="594"/>
      <c r="AB26" s="594"/>
      <c r="AD26" s="594"/>
    </row>
    <row r="27" ht="15.75" customHeight="1">
      <c r="A27" s="595" t="s">
        <v>686</v>
      </c>
      <c r="B27" s="596" t="s">
        <v>687</v>
      </c>
      <c r="C27" s="545">
        <v>4500000.0</v>
      </c>
      <c r="D27" s="545">
        <v>40.0</v>
      </c>
      <c r="E27" s="555">
        <f t="shared" ref="E27:E32" si="10">D27*12</f>
        <v>480</v>
      </c>
      <c r="F27" s="546">
        <v>112109.0</v>
      </c>
      <c r="G27" s="597"/>
      <c r="H27" s="545">
        <f t="shared" ref="H27:H28" si="11">C27/D27</f>
        <v>112500</v>
      </c>
      <c r="I27" s="547">
        <v>43435.0</v>
      </c>
      <c r="J27" s="547">
        <f t="shared" ref="J27:J32" si="12">EDATE(I27,E27)-1</f>
        <v>58044</v>
      </c>
      <c r="K27" s="464"/>
      <c r="L27" s="598"/>
      <c r="M27" s="464"/>
      <c r="N27" s="598"/>
      <c r="O27" s="464"/>
      <c r="P27" s="598"/>
      <c r="Q27" s="464"/>
      <c r="R27" s="598"/>
      <c r="S27" s="464"/>
      <c r="T27" s="598"/>
      <c r="U27" s="464"/>
      <c r="V27" s="598"/>
      <c r="W27" s="464"/>
      <c r="X27" s="598"/>
      <c r="Y27" s="464"/>
      <c r="Z27" s="598"/>
      <c r="AA27" s="464"/>
      <c r="AB27" s="598"/>
      <c r="AC27" s="464"/>
      <c r="AD27" s="598"/>
    </row>
    <row r="28" ht="15.75" customHeight="1">
      <c r="A28" s="595" t="s">
        <v>688</v>
      </c>
      <c r="B28" s="596" t="s">
        <v>689</v>
      </c>
      <c r="C28" s="545">
        <v>57075.0</v>
      </c>
      <c r="D28" s="545">
        <v>10.0</v>
      </c>
      <c r="E28" s="555">
        <f t="shared" si="10"/>
        <v>120</v>
      </c>
      <c r="F28" s="546">
        <v>112109.0</v>
      </c>
      <c r="G28" s="597"/>
      <c r="H28" s="545">
        <f t="shared" si="11"/>
        <v>5707.5</v>
      </c>
      <c r="I28" s="547">
        <v>43435.0</v>
      </c>
      <c r="J28" s="547">
        <f t="shared" si="12"/>
        <v>47087</v>
      </c>
      <c r="K28" s="464"/>
      <c r="L28" s="598"/>
      <c r="M28" s="464"/>
      <c r="N28" s="598"/>
      <c r="O28" s="464"/>
      <c r="P28" s="598"/>
      <c r="Q28" s="464"/>
      <c r="R28" s="598"/>
      <c r="S28" s="464"/>
      <c r="T28" s="598"/>
      <c r="U28" s="464"/>
      <c r="V28" s="598"/>
      <c r="W28" s="464"/>
      <c r="X28" s="598"/>
      <c r="Y28" s="464"/>
      <c r="Z28" s="598"/>
      <c r="AA28" s="464"/>
      <c r="AB28" s="598"/>
      <c r="AC28" s="464"/>
      <c r="AD28" s="598"/>
    </row>
    <row r="29" ht="15.75" customHeight="1">
      <c r="A29" s="599" t="s">
        <v>690</v>
      </c>
      <c r="B29" s="600" t="s">
        <v>691</v>
      </c>
      <c r="C29" s="539">
        <v>0.0</v>
      </c>
      <c r="D29" s="537">
        <v>3.0</v>
      </c>
      <c r="E29" s="566">
        <f t="shared" si="10"/>
        <v>36</v>
      </c>
      <c r="F29" s="538">
        <v>112109.0</v>
      </c>
      <c r="G29" s="537"/>
      <c r="H29" s="537">
        <f>(C29/D29/12)*9</f>
        <v>0</v>
      </c>
      <c r="I29" s="540">
        <v>43435.0</v>
      </c>
      <c r="J29" s="547">
        <f t="shared" si="12"/>
        <v>44530</v>
      </c>
      <c r="K29" s="464"/>
      <c r="L29" s="598"/>
      <c r="M29" s="464"/>
      <c r="N29" s="598"/>
      <c r="O29" s="464"/>
      <c r="P29" s="598"/>
      <c r="Q29" s="464"/>
      <c r="R29" s="598"/>
      <c r="S29" s="464"/>
      <c r="T29" s="598"/>
      <c r="U29" s="464"/>
      <c r="V29" s="598"/>
      <c r="W29" s="464"/>
      <c r="X29" s="598"/>
      <c r="Y29" s="464"/>
      <c r="Z29" s="598"/>
      <c r="AA29" s="464"/>
      <c r="AB29" s="598"/>
      <c r="AC29" s="464"/>
      <c r="AD29" s="598"/>
    </row>
    <row r="30" ht="15.75" customHeight="1">
      <c r="A30" s="599" t="s">
        <v>692</v>
      </c>
      <c r="B30" s="600" t="s">
        <v>693</v>
      </c>
      <c r="C30" s="537">
        <v>35000.0</v>
      </c>
      <c r="D30" s="537">
        <v>3.0</v>
      </c>
      <c r="E30" s="566">
        <f t="shared" si="10"/>
        <v>36</v>
      </c>
      <c r="F30" s="538">
        <v>112109.0</v>
      </c>
      <c r="G30" s="537"/>
      <c r="H30" s="539">
        <v>0.0</v>
      </c>
      <c r="I30" s="540">
        <v>43497.0</v>
      </c>
      <c r="J30" s="540">
        <f t="shared" si="12"/>
        <v>44592</v>
      </c>
      <c r="K30" s="601"/>
      <c r="L30" s="602"/>
      <c r="M30" s="601"/>
      <c r="N30" s="602"/>
      <c r="O30" s="601"/>
      <c r="P30" s="602"/>
      <c r="Q30" s="601"/>
      <c r="R30" s="602"/>
      <c r="S30" s="601"/>
      <c r="T30" s="602"/>
      <c r="U30" s="601"/>
      <c r="V30" s="602"/>
      <c r="W30" s="601"/>
      <c r="X30" s="602"/>
      <c r="Y30" s="601"/>
      <c r="Z30" s="602"/>
      <c r="AA30" s="601"/>
      <c r="AB30" s="602"/>
      <c r="AC30" s="601"/>
      <c r="AD30" s="602"/>
    </row>
    <row r="31" ht="15.75" customHeight="1">
      <c r="A31" s="603" t="s">
        <v>694</v>
      </c>
      <c r="B31" s="554" t="s">
        <v>695</v>
      </c>
      <c r="C31" s="551">
        <v>43415.88</v>
      </c>
      <c r="D31" s="551">
        <v>7.0</v>
      </c>
      <c r="E31" s="555">
        <f t="shared" si="10"/>
        <v>84</v>
      </c>
      <c r="F31" s="546">
        <v>112109.0</v>
      </c>
      <c r="G31" s="545"/>
      <c r="H31" s="545">
        <f t="shared" ref="H31:H32" si="13">C31/D31</f>
        <v>6202.268571</v>
      </c>
      <c r="I31" s="552">
        <v>43709.0</v>
      </c>
      <c r="J31" s="547">
        <f t="shared" si="12"/>
        <v>46265</v>
      </c>
      <c r="K31" s="464"/>
      <c r="L31" s="598"/>
      <c r="M31" s="464"/>
      <c r="N31" s="598"/>
      <c r="O31" s="464"/>
      <c r="P31" s="598"/>
      <c r="Q31" s="464"/>
      <c r="R31" s="598"/>
      <c r="S31" s="464"/>
      <c r="T31" s="598"/>
      <c r="U31" s="464"/>
      <c r="V31" s="598"/>
      <c r="W31" s="464"/>
      <c r="X31" s="598"/>
      <c r="Y31" s="464"/>
      <c r="Z31" s="598"/>
      <c r="AA31" s="464"/>
      <c r="AB31" s="598"/>
      <c r="AC31" s="464"/>
      <c r="AD31" s="598"/>
    </row>
    <row r="32" ht="15.75" customHeight="1">
      <c r="A32" s="603" t="s">
        <v>696</v>
      </c>
      <c r="B32" s="554" t="s">
        <v>697</v>
      </c>
      <c r="C32" s="551">
        <v>37625.0</v>
      </c>
      <c r="D32" s="551">
        <v>5.0</v>
      </c>
      <c r="E32" s="555">
        <f t="shared" si="10"/>
        <v>60</v>
      </c>
      <c r="F32" s="546">
        <v>112109.0</v>
      </c>
      <c r="G32" s="545"/>
      <c r="H32" s="545">
        <f t="shared" si="13"/>
        <v>7525</v>
      </c>
      <c r="I32" s="552">
        <v>43709.0</v>
      </c>
      <c r="J32" s="547">
        <f t="shared" si="12"/>
        <v>45535</v>
      </c>
      <c r="K32" s="464"/>
      <c r="L32" s="598"/>
      <c r="M32" s="464"/>
      <c r="N32" s="598"/>
      <c r="O32" s="464"/>
      <c r="P32" s="598"/>
      <c r="Q32" s="464"/>
      <c r="R32" s="598"/>
      <c r="S32" s="464"/>
      <c r="T32" s="598"/>
      <c r="U32" s="464"/>
      <c r="V32" s="598"/>
      <c r="W32" s="464"/>
      <c r="X32" s="598"/>
      <c r="Y32" s="464"/>
      <c r="Z32" s="598"/>
      <c r="AA32" s="464"/>
      <c r="AB32" s="598"/>
      <c r="AC32" s="464"/>
      <c r="AD32" s="598"/>
    </row>
    <row r="33" ht="15.75" customHeight="1">
      <c r="A33" s="604" t="s">
        <v>19</v>
      </c>
      <c r="B33" s="525"/>
      <c r="C33" s="580"/>
      <c r="D33" s="572"/>
      <c r="E33" s="581"/>
      <c r="F33" s="573"/>
      <c r="G33" s="558" t="s">
        <v>19</v>
      </c>
      <c r="H33" s="528">
        <f>sum(H27:H32)</f>
        <v>131934.7686</v>
      </c>
      <c r="I33" s="581"/>
      <c r="J33" s="581"/>
      <c r="K33" s="525"/>
      <c r="L33" s="579"/>
      <c r="M33" s="525"/>
      <c r="N33" s="579"/>
      <c r="O33" s="525"/>
      <c r="P33" s="579"/>
      <c r="Q33" s="525"/>
      <c r="R33" s="579"/>
      <c r="S33" s="525"/>
      <c r="T33" s="579"/>
      <c r="U33" s="525"/>
      <c r="V33" s="579"/>
      <c r="W33" s="525"/>
      <c r="X33" s="579"/>
      <c r="Y33" s="525"/>
      <c r="Z33" s="579"/>
      <c r="AA33" s="525"/>
      <c r="AB33" s="579"/>
      <c r="AC33" s="525"/>
      <c r="AD33" s="579"/>
    </row>
    <row r="34" ht="15.75" customHeight="1">
      <c r="A34" s="571"/>
      <c r="B34" s="554"/>
      <c r="C34" s="551"/>
      <c r="D34" s="551"/>
      <c r="E34" s="555"/>
      <c r="F34" s="546"/>
      <c r="G34" s="605"/>
      <c r="H34" s="531"/>
      <c r="I34" s="552"/>
      <c r="J34" s="552"/>
      <c r="K34" s="525"/>
      <c r="L34" s="525"/>
      <c r="M34" s="525"/>
      <c r="N34" s="525"/>
      <c r="O34" s="525"/>
      <c r="P34" s="525"/>
      <c r="Q34" s="525"/>
      <c r="R34" s="525"/>
      <c r="S34" s="525"/>
      <c r="T34" s="525"/>
      <c r="U34" s="525"/>
      <c r="V34" s="525"/>
      <c r="W34" s="525"/>
      <c r="X34" s="525"/>
      <c r="Y34" s="525"/>
      <c r="Z34" s="525"/>
      <c r="AA34" s="525"/>
      <c r="AB34" s="525"/>
      <c r="AC34" s="525"/>
      <c r="AD34" s="525"/>
    </row>
    <row r="35" ht="15.75" customHeight="1">
      <c r="A35" s="571"/>
      <c r="B35" s="554"/>
      <c r="C35" s="551"/>
      <c r="D35" s="551"/>
      <c r="E35" s="555"/>
      <c r="F35" s="546"/>
      <c r="G35" s="605"/>
      <c r="H35" s="531"/>
      <c r="I35" s="552"/>
      <c r="J35" s="552"/>
      <c r="K35" s="525"/>
      <c r="L35" s="525"/>
      <c r="M35" s="525"/>
      <c r="N35" s="525"/>
      <c r="O35" s="525"/>
      <c r="P35" s="525"/>
      <c r="Q35" s="525"/>
      <c r="R35" s="525"/>
      <c r="S35" s="525"/>
      <c r="T35" s="525"/>
      <c r="U35" s="525"/>
      <c r="V35" s="525"/>
      <c r="W35" s="525"/>
      <c r="X35" s="525"/>
      <c r="Y35" s="525"/>
      <c r="Z35" s="525"/>
      <c r="AA35" s="525"/>
      <c r="AB35" s="525"/>
      <c r="AC35" s="525"/>
      <c r="AD35" s="525"/>
    </row>
    <row r="36" ht="15.75" customHeight="1">
      <c r="A36" s="519" t="s">
        <v>19</v>
      </c>
      <c r="C36" s="561">
        <f>sum(C4:C33)</f>
        <v>7524229.88</v>
      </c>
      <c r="D36" s="561"/>
      <c r="E36" s="562"/>
      <c r="G36" s="562"/>
      <c r="H36" s="561">
        <f>H33+H19+H13+H25+H22</f>
        <v>556192.0067</v>
      </c>
      <c r="I36" s="562"/>
      <c r="K36" s="519"/>
      <c r="L36" s="519"/>
      <c r="N36" s="519"/>
      <c r="P36" s="519"/>
      <c r="R36" s="519"/>
      <c r="T36" s="519"/>
      <c r="V36" s="519"/>
      <c r="X36" s="519"/>
      <c r="Z36" s="519"/>
      <c r="AB36" s="519"/>
      <c r="AD36" s="519"/>
    </row>
    <row r="37" ht="15.75" customHeight="1">
      <c r="A37" s="606" t="s">
        <v>698</v>
      </c>
      <c r="C37" s="545"/>
      <c r="D37" s="572"/>
      <c r="E37" s="545"/>
      <c r="F37" s="573"/>
      <c r="G37" s="572"/>
      <c r="H37" s="545"/>
      <c r="I37" s="547"/>
      <c r="J37" s="547"/>
      <c r="K37" s="525"/>
      <c r="L37" s="525"/>
      <c r="M37" s="525"/>
      <c r="N37" s="525"/>
      <c r="O37" s="525"/>
      <c r="P37" s="525"/>
      <c r="Q37" s="525"/>
      <c r="R37" s="525"/>
      <c r="S37" s="525"/>
      <c r="T37" s="525"/>
      <c r="U37" s="525"/>
      <c r="V37" s="525"/>
      <c r="W37" s="525"/>
      <c r="X37" s="525"/>
      <c r="Y37" s="525"/>
      <c r="Z37" s="525"/>
      <c r="AA37" s="525"/>
      <c r="AB37" s="525"/>
      <c r="AC37" s="525"/>
      <c r="AD37" s="525"/>
    </row>
    <row r="38" ht="15.75" customHeight="1">
      <c r="A38" s="607" t="s">
        <v>646</v>
      </c>
      <c r="B38" s="608" t="s">
        <v>340</v>
      </c>
      <c r="C38" s="609"/>
      <c r="D38" s="608"/>
      <c r="E38" s="609"/>
      <c r="F38" s="610"/>
      <c r="G38" s="608"/>
      <c r="H38" s="609"/>
      <c r="I38" s="611"/>
      <c r="J38" s="611"/>
      <c r="K38" s="612"/>
      <c r="L38" s="612"/>
      <c r="M38" s="612"/>
      <c r="N38" s="612"/>
      <c r="O38" s="612"/>
      <c r="P38" s="612"/>
      <c r="Q38" s="612"/>
      <c r="R38" s="612"/>
      <c r="S38" s="612"/>
      <c r="T38" s="612"/>
      <c r="U38" s="612"/>
      <c r="V38" s="612"/>
      <c r="W38" s="612"/>
      <c r="X38" s="612"/>
      <c r="Y38" s="612"/>
      <c r="Z38" s="612"/>
      <c r="AA38" s="612"/>
      <c r="AB38" s="612"/>
      <c r="AC38" s="612"/>
      <c r="AD38" s="612"/>
    </row>
    <row r="39" ht="15.75" customHeight="1">
      <c r="A39" s="613" t="s">
        <v>699</v>
      </c>
      <c r="B39" s="545">
        <f t="shared" ref="B39:B43" si="14">sumif($F$3:$F$36,A39,$H$3:$H$36)</f>
        <v>244842.0667</v>
      </c>
      <c r="C39" s="545"/>
      <c r="D39" s="572"/>
      <c r="E39" s="545"/>
      <c r="F39" s="573"/>
      <c r="G39" s="572"/>
      <c r="H39" s="545"/>
      <c r="I39" s="547"/>
      <c r="J39" s="547"/>
      <c r="K39" s="525"/>
      <c r="L39" s="525"/>
      <c r="M39" s="525"/>
      <c r="N39" s="525"/>
      <c r="O39" s="525"/>
      <c r="P39" s="525"/>
      <c r="Q39" s="525"/>
      <c r="R39" s="525"/>
      <c r="S39" s="525"/>
      <c r="T39" s="525"/>
      <c r="U39" s="525"/>
      <c r="V39" s="525"/>
      <c r="W39" s="525"/>
      <c r="X39" s="525"/>
      <c r="Y39" s="525"/>
      <c r="Z39" s="525"/>
      <c r="AA39" s="525"/>
      <c r="AB39" s="525"/>
      <c r="AC39" s="525"/>
      <c r="AD39" s="525"/>
    </row>
    <row r="40" ht="15.75" customHeight="1">
      <c r="A40" s="613" t="s">
        <v>700</v>
      </c>
      <c r="B40" s="545">
        <f t="shared" si="14"/>
        <v>131934.7686</v>
      </c>
      <c r="C40" s="545"/>
      <c r="D40" s="572"/>
      <c r="E40" s="545"/>
      <c r="F40" s="573"/>
      <c r="G40" s="572"/>
      <c r="H40" s="545"/>
      <c r="I40" s="547"/>
      <c r="J40" s="547"/>
      <c r="K40" s="525"/>
      <c r="L40" s="525"/>
      <c r="M40" s="525"/>
      <c r="N40" s="525"/>
      <c r="O40" s="525"/>
      <c r="P40" s="525"/>
      <c r="Q40" s="525"/>
      <c r="R40" s="525"/>
      <c r="S40" s="525"/>
      <c r="T40" s="525"/>
      <c r="U40" s="525"/>
      <c r="V40" s="525"/>
      <c r="W40" s="525"/>
      <c r="X40" s="525"/>
      <c r="Y40" s="525"/>
      <c r="Z40" s="525"/>
      <c r="AA40" s="525"/>
      <c r="AB40" s="525"/>
      <c r="AC40" s="525"/>
      <c r="AD40" s="525"/>
    </row>
    <row r="41" ht="15.75" customHeight="1">
      <c r="A41" s="613" t="s">
        <v>701</v>
      </c>
      <c r="B41" s="545">
        <f t="shared" si="14"/>
        <v>153186.6</v>
      </c>
      <c r="C41" s="545"/>
      <c r="D41" s="572"/>
      <c r="E41" s="545"/>
      <c r="F41" s="573"/>
      <c r="G41" s="572"/>
      <c r="H41" s="545"/>
      <c r="I41" s="547"/>
      <c r="J41" s="547"/>
      <c r="K41" s="525"/>
      <c r="L41" s="525"/>
      <c r="M41" s="525"/>
      <c r="N41" s="525"/>
      <c r="O41" s="525"/>
      <c r="P41" s="525"/>
      <c r="Q41" s="525"/>
      <c r="R41" s="525"/>
      <c r="S41" s="525"/>
      <c r="T41" s="525"/>
      <c r="U41" s="525"/>
      <c r="V41" s="525"/>
      <c r="W41" s="525"/>
      <c r="X41" s="525"/>
      <c r="Y41" s="525"/>
      <c r="Z41" s="525"/>
      <c r="AA41" s="525"/>
      <c r="AB41" s="525"/>
      <c r="AC41" s="525"/>
      <c r="AD41" s="525"/>
    </row>
    <row r="42" ht="15.75" customHeight="1">
      <c r="A42" s="613" t="s">
        <v>702</v>
      </c>
      <c r="B42" s="545">
        <f t="shared" si="14"/>
        <v>26228.57143</v>
      </c>
      <c r="C42" s="614"/>
      <c r="D42" s="572"/>
      <c r="E42" s="545"/>
      <c r="F42" s="573"/>
      <c r="G42" s="572"/>
      <c r="H42" s="545"/>
      <c r="I42" s="547"/>
      <c r="J42" s="547"/>
      <c r="K42" s="525"/>
      <c r="L42" s="525"/>
      <c r="M42" s="525"/>
      <c r="N42" s="525"/>
      <c r="O42" s="525"/>
      <c r="P42" s="525"/>
      <c r="Q42" s="525"/>
      <c r="R42" s="525"/>
      <c r="S42" s="525"/>
      <c r="T42" s="525"/>
      <c r="U42" s="525"/>
      <c r="V42" s="525"/>
      <c r="W42" s="525"/>
      <c r="X42" s="525"/>
      <c r="Y42" s="525"/>
      <c r="Z42" s="525"/>
      <c r="AA42" s="525"/>
      <c r="AB42" s="525"/>
      <c r="AC42" s="525"/>
      <c r="AD42" s="525"/>
    </row>
    <row r="43" ht="15.75" customHeight="1">
      <c r="A43" s="613" t="s">
        <v>703</v>
      </c>
      <c r="B43" s="545">
        <f t="shared" si="14"/>
        <v>0</v>
      </c>
      <c r="C43" s="545"/>
      <c r="D43" s="572"/>
      <c r="E43" s="545"/>
      <c r="F43" s="573"/>
      <c r="G43" s="572"/>
      <c r="H43" s="545"/>
      <c r="I43" s="547"/>
      <c r="J43" s="547"/>
      <c r="K43" s="525"/>
      <c r="L43" s="525"/>
      <c r="M43" s="525"/>
      <c r="N43" s="525"/>
      <c r="O43" s="525"/>
      <c r="P43" s="525"/>
      <c r="Q43" s="525"/>
      <c r="R43" s="525"/>
      <c r="S43" s="525"/>
      <c r="T43" s="525"/>
      <c r="U43" s="525"/>
      <c r="V43" s="525"/>
      <c r="W43" s="525"/>
      <c r="X43" s="525"/>
      <c r="Y43" s="525"/>
      <c r="Z43" s="525"/>
      <c r="AA43" s="525"/>
      <c r="AB43" s="525"/>
      <c r="AC43" s="525"/>
      <c r="AD43" s="525"/>
    </row>
    <row r="44" ht="15.75" customHeight="1">
      <c r="A44" s="555"/>
      <c r="B44" s="545"/>
      <c r="C44" s="545"/>
      <c r="D44" s="572"/>
      <c r="E44" s="545"/>
      <c r="F44" s="573"/>
      <c r="G44" s="572"/>
      <c r="H44" s="545"/>
      <c r="I44" s="547"/>
      <c r="J44" s="547"/>
      <c r="K44" s="525"/>
      <c r="L44" s="525"/>
      <c r="M44" s="525"/>
      <c r="N44" s="525"/>
      <c r="O44" s="525"/>
      <c r="P44" s="525"/>
      <c r="Q44" s="525"/>
      <c r="R44" s="525"/>
      <c r="S44" s="525"/>
      <c r="T44" s="525"/>
      <c r="U44" s="525"/>
      <c r="V44" s="525"/>
      <c r="W44" s="525"/>
      <c r="X44" s="525"/>
      <c r="Y44" s="525"/>
      <c r="Z44" s="525"/>
      <c r="AA44" s="525"/>
      <c r="AB44" s="525"/>
      <c r="AC44" s="525"/>
      <c r="AD44" s="525"/>
    </row>
    <row r="45" ht="15.75" customHeight="1">
      <c r="A45" s="555"/>
      <c r="B45" s="545"/>
      <c r="C45" s="545"/>
      <c r="D45" s="572"/>
      <c r="E45" s="545"/>
      <c r="F45" s="573"/>
      <c r="G45" s="572"/>
      <c r="H45" s="545"/>
      <c r="I45" s="547"/>
      <c r="J45" s="547"/>
      <c r="K45" s="525"/>
      <c r="L45" s="525"/>
      <c r="M45" s="525"/>
      <c r="N45" s="525"/>
      <c r="O45" s="525"/>
      <c r="P45" s="525"/>
      <c r="Q45" s="525"/>
      <c r="R45" s="525"/>
      <c r="S45" s="525"/>
      <c r="T45" s="525"/>
      <c r="U45" s="525"/>
      <c r="V45" s="525"/>
      <c r="W45" s="525"/>
      <c r="X45" s="525"/>
      <c r="Y45" s="525"/>
      <c r="Z45" s="525"/>
      <c r="AA45" s="525"/>
      <c r="AB45" s="525"/>
      <c r="AC45" s="525"/>
      <c r="AD45" s="525"/>
    </row>
    <row r="46" ht="15.75" customHeight="1">
      <c r="A46" s="555"/>
      <c r="B46" s="545"/>
      <c r="C46" s="545"/>
      <c r="D46" s="572"/>
      <c r="E46" s="545"/>
      <c r="F46" s="573"/>
      <c r="G46" s="572"/>
      <c r="H46" s="545"/>
      <c r="I46" s="547"/>
      <c r="J46" s="547"/>
      <c r="K46" s="525"/>
      <c r="L46" s="525"/>
      <c r="M46" s="525"/>
      <c r="N46" s="525"/>
      <c r="O46" s="525"/>
      <c r="P46" s="525"/>
      <c r="Q46" s="525"/>
      <c r="R46" s="525"/>
      <c r="S46" s="525"/>
      <c r="T46" s="525"/>
      <c r="U46" s="525"/>
      <c r="V46" s="525"/>
      <c r="W46" s="525"/>
      <c r="X46" s="525"/>
      <c r="Y46" s="525"/>
      <c r="Z46" s="525"/>
      <c r="AA46" s="525"/>
      <c r="AB46" s="525"/>
      <c r="AC46" s="525"/>
      <c r="AD46" s="525"/>
    </row>
    <row r="47" ht="15.75" customHeight="1">
      <c r="A47" s="615" t="s">
        <v>704</v>
      </c>
      <c r="B47" s="616">
        <f>SUM(B39:B43)</f>
        <v>556192.0067</v>
      </c>
      <c r="C47" s="617"/>
      <c r="D47" s="618"/>
      <c r="E47" s="617"/>
      <c r="F47" s="619"/>
      <c r="G47" s="618"/>
      <c r="H47" s="617"/>
      <c r="I47" s="620"/>
      <c r="J47" s="620"/>
      <c r="K47" s="621"/>
      <c r="L47" s="621"/>
      <c r="M47" s="621"/>
      <c r="N47" s="621"/>
      <c r="O47" s="621"/>
      <c r="P47" s="621"/>
      <c r="Q47" s="621"/>
      <c r="R47" s="621"/>
      <c r="S47" s="621"/>
      <c r="T47" s="621"/>
      <c r="U47" s="621"/>
      <c r="V47" s="621"/>
      <c r="W47" s="621"/>
      <c r="X47" s="621"/>
      <c r="Y47" s="621"/>
      <c r="Z47" s="621"/>
      <c r="AA47" s="621"/>
      <c r="AB47" s="621"/>
      <c r="AC47" s="621"/>
      <c r="AD47" s="621"/>
    </row>
    <row r="48" ht="15.75" customHeight="1">
      <c r="A48" s="571"/>
      <c r="B48" s="525"/>
      <c r="C48" s="545"/>
      <c r="D48" s="572"/>
      <c r="E48" s="545"/>
      <c r="F48" s="573"/>
      <c r="G48" s="572"/>
      <c r="H48" s="545"/>
      <c r="I48" s="547"/>
      <c r="J48" s="547"/>
      <c r="K48" s="525"/>
      <c r="L48" s="525"/>
      <c r="M48" s="525"/>
      <c r="N48" s="525"/>
      <c r="O48" s="525"/>
      <c r="P48" s="525"/>
      <c r="Q48" s="525"/>
      <c r="R48" s="525"/>
      <c r="S48" s="525"/>
      <c r="T48" s="525"/>
      <c r="U48" s="525"/>
      <c r="V48" s="525"/>
      <c r="W48" s="525"/>
      <c r="X48" s="525"/>
      <c r="Y48" s="525"/>
      <c r="Z48" s="525"/>
      <c r="AA48" s="525"/>
      <c r="AB48" s="525"/>
      <c r="AC48" s="525"/>
      <c r="AD48" s="525"/>
    </row>
    <row r="49" ht="15.75" customHeight="1">
      <c r="A49" s="571"/>
      <c r="B49" s="525"/>
      <c r="C49" s="545"/>
      <c r="D49" s="572"/>
      <c r="E49" s="545"/>
      <c r="F49" s="573"/>
      <c r="G49" s="572"/>
      <c r="H49" s="545"/>
      <c r="I49" s="547"/>
      <c r="J49" s="547"/>
      <c r="K49" s="525"/>
      <c r="L49" s="525"/>
      <c r="M49" s="525"/>
      <c r="N49" s="525"/>
      <c r="O49" s="525"/>
      <c r="P49" s="525"/>
      <c r="Q49" s="525"/>
      <c r="R49" s="525"/>
      <c r="S49" s="525"/>
      <c r="T49" s="525"/>
      <c r="U49" s="525"/>
      <c r="V49" s="525"/>
      <c r="W49" s="525"/>
      <c r="X49" s="525"/>
      <c r="Y49" s="525"/>
      <c r="Z49" s="525"/>
      <c r="AA49" s="525"/>
      <c r="AB49" s="525"/>
      <c r="AC49" s="525"/>
      <c r="AD49" s="525"/>
    </row>
    <row r="50" ht="15.75" customHeight="1">
      <c r="A50" s="571"/>
      <c r="B50" s="525"/>
      <c r="C50" s="545"/>
      <c r="D50" s="572"/>
      <c r="E50" s="545"/>
      <c r="F50" s="573"/>
      <c r="G50" s="572"/>
      <c r="H50" s="545"/>
      <c r="I50" s="547"/>
      <c r="J50" s="547"/>
      <c r="K50" s="525"/>
      <c r="L50" s="525"/>
      <c r="M50" s="525"/>
      <c r="N50" s="525"/>
      <c r="O50" s="525"/>
      <c r="P50" s="525"/>
      <c r="Q50" s="525"/>
      <c r="R50" s="525"/>
      <c r="S50" s="525"/>
      <c r="T50" s="525"/>
      <c r="U50" s="525"/>
      <c r="V50" s="525"/>
      <c r="W50" s="525"/>
      <c r="X50" s="525"/>
      <c r="Y50" s="525"/>
      <c r="Z50" s="525"/>
      <c r="AA50" s="525"/>
      <c r="AB50" s="525"/>
      <c r="AC50" s="525"/>
      <c r="AD50" s="525"/>
    </row>
    <row r="51" ht="15.75" customHeight="1">
      <c r="A51" s="571"/>
      <c r="B51" s="525"/>
      <c r="C51" s="545"/>
      <c r="D51" s="572"/>
      <c r="E51" s="545"/>
      <c r="F51" s="573"/>
      <c r="G51" s="572"/>
      <c r="H51" s="545"/>
      <c r="I51" s="547"/>
      <c r="J51" s="547"/>
      <c r="K51" s="525"/>
      <c r="L51" s="525"/>
      <c r="M51" s="525"/>
      <c r="N51" s="525"/>
      <c r="O51" s="525"/>
      <c r="P51" s="525"/>
      <c r="Q51" s="525"/>
      <c r="R51" s="525"/>
      <c r="S51" s="525"/>
      <c r="T51" s="525"/>
      <c r="U51" s="525"/>
      <c r="V51" s="525"/>
      <c r="W51" s="525"/>
      <c r="X51" s="525"/>
      <c r="Y51" s="525"/>
      <c r="Z51" s="525"/>
      <c r="AA51" s="525"/>
      <c r="AB51" s="525"/>
      <c r="AC51" s="525"/>
      <c r="AD51" s="525"/>
    </row>
    <row r="52" ht="15.75" customHeight="1">
      <c r="A52" s="519" t="s">
        <v>705</v>
      </c>
      <c r="B52" s="561" t="s">
        <v>706</v>
      </c>
      <c r="C52" s="561" t="s">
        <v>707</v>
      </c>
      <c r="D52" s="561"/>
      <c r="E52" s="562"/>
      <c r="G52" s="562"/>
      <c r="H52" s="561"/>
      <c r="I52" s="562"/>
      <c r="K52" s="519"/>
      <c r="L52" s="519"/>
      <c r="N52" s="519"/>
      <c r="P52" s="519"/>
      <c r="R52" s="519"/>
      <c r="T52" s="519"/>
      <c r="V52" s="519"/>
      <c r="X52" s="519"/>
      <c r="Z52" s="519"/>
      <c r="AB52" s="519"/>
      <c r="AD52" s="519"/>
    </row>
    <row r="53" ht="15.75" customHeight="1">
      <c r="A53" s="553"/>
      <c r="B53" s="551"/>
      <c r="C53" s="622"/>
      <c r="D53" s="623"/>
      <c r="E53" s="555"/>
      <c r="F53" s="546"/>
      <c r="G53" s="570"/>
      <c r="H53" s="545"/>
      <c r="I53" s="547"/>
      <c r="J53" s="547"/>
      <c r="K53" s="525"/>
      <c r="L53" s="525"/>
      <c r="M53" s="525"/>
      <c r="N53" s="525"/>
      <c r="O53" s="525"/>
      <c r="P53" s="525"/>
      <c r="Q53" s="525"/>
      <c r="R53" s="525"/>
      <c r="S53" s="525"/>
      <c r="T53" s="525"/>
      <c r="U53" s="525"/>
      <c r="V53" s="525"/>
      <c r="W53" s="525"/>
      <c r="X53" s="525"/>
      <c r="Y53" s="525"/>
      <c r="Z53" s="525"/>
      <c r="AA53" s="525"/>
      <c r="AB53" s="525"/>
      <c r="AC53" s="525"/>
      <c r="AD53" s="525"/>
    </row>
    <row r="54" ht="15.75" customHeight="1">
      <c r="A54" s="553" t="s">
        <v>708</v>
      </c>
      <c r="B54" s="551">
        <v>1000000.0</v>
      </c>
      <c r="C54" s="624" t="s">
        <v>709</v>
      </c>
      <c r="D54" s="623"/>
      <c r="E54" s="545"/>
      <c r="F54" s="573"/>
      <c r="G54" s="572"/>
      <c r="H54" s="545"/>
      <c r="I54" s="547"/>
      <c r="J54" s="547"/>
      <c r="K54" s="525"/>
      <c r="L54" s="525"/>
      <c r="M54" s="525"/>
      <c r="N54" s="525"/>
      <c r="O54" s="525"/>
      <c r="P54" s="525"/>
      <c r="Q54" s="525"/>
      <c r="R54" s="525"/>
      <c r="S54" s="525"/>
      <c r="T54" s="525"/>
      <c r="U54" s="525"/>
      <c r="V54" s="525"/>
      <c r="W54" s="525"/>
      <c r="X54" s="525"/>
      <c r="Y54" s="525"/>
      <c r="Z54" s="525"/>
      <c r="AA54" s="525"/>
      <c r="AB54" s="525"/>
      <c r="AC54" s="525"/>
      <c r="AD54" s="525"/>
    </row>
    <row r="55" ht="15.75" customHeight="1">
      <c r="A55" s="553" t="s">
        <v>710</v>
      </c>
      <c r="B55" s="623" t="s">
        <v>711</v>
      </c>
      <c r="C55" s="624">
        <v>2023.0</v>
      </c>
      <c r="D55" s="623"/>
      <c r="E55" s="545"/>
      <c r="F55" s="573"/>
      <c r="G55" s="572"/>
      <c r="H55" s="545"/>
      <c r="I55" s="547"/>
      <c r="J55" s="547"/>
      <c r="K55" s="525"/>
      <c r="L55" s="525"/>
      <c r="M55" s="525"/>
      <c r="N55" s="525"/>
      <c r="O55" s="525"/>
      <c r="P55" s="525"/>
      <c r="Q55" s="525"/>
      <c r="R55" s="525"/>
      <c r="S55" s="525"/>
      <c r="T55" s="525"/>
      <c r="U55" s="525"/>
      <c r="V55" s="525"/>
      <c r="W55" s="525"/>
      <c r="X55" s="525"/>
      <c r="Y55" s="525"/>
      <c r="Z55" s="525"/>
      <c r="AA55" s="525"/>
      <c r="AB55" s="525"/>
      <c r="AC55" s="525"/>
      <c r="AD55" s="525"/>
    </row>
    <row r="56" ht="15.75" customHeight="1">
      <c r="A56" s="571"/>
      <c r="B56" s="525"/>
      <c r="C56" s="545"/>
      <c r="D56" s="572"/>
      <c r="E56" s="545"/>
      <c r="F56" s="573"/>
      <c r="G56" s="572"/>
      <c r="H56" s="545"/>
      <c r="I56" s="547"/>
      <c r="J56" s="547"/>
      <c r="K56" s="525"/>
      <c r="L56" s="525"/>
      <c r="M56" s="525"/>
      <c r="N56" s="525"/>
      <c r="O56" s="525"/>
      <c r="P56" s="525"/>
      <c r="Q56" s="525"/>
      <c r="R56" s="525"/>
      <c r="S56" s="525"/>
      <c r="T56" s="525"/>
      <c r="U56" s="525"/>
      <c r="V56" s="525"/>
      <c r="W56" s="525"/>
      <c r="X56" s="525"/>
      <c r="Y56" s="525"/>
      <c r="Z56" s="525"/>
      <c r="AA56" s="525"/>
      <c r="AB56" s="525"/>
      <c r="AC56" s="525"/>
      <c r="AD56" s="525"/>
    </row>
    <row r="57" ht="15.75" customHeight="1">
      <c r="A57" s="571"/>
      <c r="B57" s="525"/>
      <c r="C57" s="545"/>
      <c r="D57" s="572"/>
      <c r="E57" s="545"/>
      <c r="F57" s="573"/>
      <c r="G57" s="572"/>
      <c r="H57" s="545"/>
      <c r="I57" s="547"/>
      <c r="J57" s="547"/>
      <c r="K57" s="525"/>
      <c r="L57" s="525"/>
      <c r="M57" s="525"/>
      <c r="N57" s="525"/>
      <c r="O57" s="525"/>
      <c r="P57" s="525"/>
      <c r="Q57" s="525"/>
      <c r="R57" s="525"/>
      <c r="S57" s="525"/>
      <c r="T57" s="525"/>
      <c r="U57" s="525"/>
      <c r="V57" s="525"/>
      <c r="W57" s="525"/>
      <c r="X57" s="525"/>
      <c r="Y57" s="525"/>
      <c r="Z57" s="525"/>
      <c r="AA57" s="525"/>
      <c r="AB57" s="525"/>
      <c r="AC57" s="525"/>
      <c r="AD57" s="525"/>
    </row>
    <row r="58" ht="15.75" customHeight="1">
      <c r="A58" s="571"/>
      <c r="B58" s="525"/>
      <c r="C58" s="545"/>
      <c r="D58" s="572"/>
      <c r="E58" s="545"/>
      <c r="F58" s="573"/>
      <c r="G58" s="572"/>
      <c r="H58" s="545"/>
      <c r="I58" s="547"/>
      <c r="J58" s="547"/>
      <c r="K58" s="525"/>
      <c r="L58" s="525"/>
      <c r="M58" s="525"/>
      <c r="N58" s="525"/>
      <c r="O58" s="525"/>
      <c r="P58" s="525"/>
      <c r="Q58" s="525"/>
      <c r="R58" s="525"/>
      <c r="S58" s="525"/>
      <c r="T58" s="525"/>
      <c r="U58" s="525"/>
      <c r="V58" s="525"/>
      <c r="W58" s="525"/>
      <c r="X58" s="525"/>
      <c r="Y58" s="525"/>
      <c r="Z58" s="525"/>
      <c r="AA58" s="525"/>
      <c r="AB58" s="525"/>
      <c r="AC58" s="525"/>
      <c r="AD58" s="525"/>
    </row>
    <row r="59" ht="15.75" customHeight="1">
      <c r="A59" s="571"/>
      <c r="B59" s="525"/>
      <c r="C59" s="545"/>
      <c r="D59" s="572"/>
      <c r="E59" s="545"/>
      <c r="F59" s="573"/>
      <c r="G59" s="572"/>
      <c r="H59" s="545"/>
      <c r="I59" s="547"/>
      <c r="J59" s="547"/>
      <c r="K59" s="525"/>
      <c r="L59" s="525"/>
      <c r="M59" s="525"/>
      <c r="N59" s="525"/>
      <c r="O59" s="525"/>
      <c r="P59" s="525"/>
      <c r="Q59" s="525"/>
      <c r="R59" s="525"/>
      <c r="S59" s="525"/>
      <c r="T59" s="525"/>
      <c r="U59" s="525"/>
      <c r="V59" s="525"/>
      <c r="W59" s="525"/>
      <c r="X59" s="525"/>
      <c r="Y59" s="525"/>
      <c r="Z59" s="525"/>
      <c r="AA59" s="525"/>
      <c r="AB59" s="525"/>
      <c r="AC59" s="525"/>
      <c r="AD59" s="525"/>
    </row>
    <row r="60" ht="15.75" customHeight="1">
      <c r="A60" s="571"/>
      <c r="B60" s="525"/>
      <c r="C60" s="545"/>
      <c r="D60" s="572"/>
      <c r="E60" s="545"/>
      <c r="F60" s="573"/>
      <c r="G60" s="572"/>
      <c r="H60" s="545"/>
      <c r="I60" s="547"/>
      <c r="J60" s="547"/>
      <c r="K60" s="525"/>
      <c r="L60" s="525"/>
      <c r="M60" s="525"/>
      <c r="N60" s="525"/>
      <c r="O60" s="525"/>
      <c r="P60" s="525"/>
      <c r="Q60" s="525"/>
      <c r="R60" s="525"/>
      <c r="S60" s="525"/>
      <c r="T60" s="525"/>
      <c r="U60" s="525"/>
      <c r="V60" s="525"/>
      <c r="W60" s="525"/>
      <c r="X60" s="525"/>
      <c r="Y60" s="525"/>
      <c r="Z60" s="525"/>
      <c r="AA60" s="525"/>
      <c r="AB60" s="525"/>
      <c r="AC60" s="525"/>
      <c r="AD60" s="525"/>
    </row>
    <row r="61" ht="15.75" customHeight="1">
      <c r="A61" s="571"/>
      <c r="B61" s="525"/>
      <c r="C61" s="545"/>
      <c r="D61" s="572"/>
      <c r="E61" s="545"/>
      <c r="F61" s="573"/>
      <c r="G61" s="572"/>
      <c r="H61" s="545"/>
      <c r="I61" s="547"/>
      <c r="J61" s="547"/>
      <c r="K61" s="525"/>
      <c r="L61" s="525"/>
      <c r="M61" s="525"/>
      <c r="N61" s="525"/>
      <c r="O61" s="525"/>
      <c r="P61" s="525"/>
      <c r="Q61" s="525"/>
      <c r="R61" s="525"/>
      <c r="S61" s="525"/>
      <c r="T61" s="525"/>
      <c r="U61" s="525"/>
      <c r="V61" s="525"/>
      <c r="W61" s="525"/>
      <c r="X61" s="525"/>
      <c r="Y61" s="525"/>
      <c r="Z61" s="525"/>
      <c r="AA61" s="525"/>
      <c r="AB61" s="525"/>
      <c r="AC61" s="525"/>
      <c r="AD61" s="525"/>
    </row>
    <row r="62" ht="15.75" customHeight="1">
      <c r="A62" s="571"/>
      <c r="B62" s="525"/>
      <c r="C62" s="545"/>
      <c r="D62" s="572"/>
      <c r="E62" s="545"/>
      <c r="F62" s="573"/>
      <c r="G62" s="572"/>
      <c r="H62" s="545"/>
      <c r="I62" s="547"/>
      <c r="J62" s="547"/>
      <c r="K62" s="525"/>
      <c r="L62" s="525"/>
      <c r="M62" s="525"/>
      <c r="N62" s="525"/>
      <c r="O62" s="525"/>
      <c r="P62" s="525"/>
      <c r="Q62" s="525"/>
      <c r="R62" s="525"/>
      <c r="S62" s="525"/>
      <c r="T62" s="525"/>
      <c r="U62" s="525"/>
      <c r="V62" s="525"/>
      <c r="W62" s="525"/>
      <c r="X62" s="525"/>
      <c r="Y62" s="525"/>
      <c r="Z62" s="525"/>
      <c r="AA62" s="525"/>
      <c r="AB62" s="525"/>
      <c r="AC62" s="525"/>
      <c r="AD62" s="525"/>
    </row>
    <row r="63" ht="15.75" customHeight="1">
      <c r="A63" s="571"/>
      <c r="B63" s="525"/>
      <c r="C63" s="545"/>
      <c r="D63" s="572"/>
      <c r="E63" s="545"/>
      <c r="F63" s="573"/>
      <c r="G63" s="572"/>
      <c r="H63" s="545"/>
      <c r="I63" s="547"/>
      <c r="J63" s="547"/>
      <c r="K63" s="525"/>
      <c r="L63" s="525"/>
      <c r="M63" s="525"/>
      <c r="N63" s="525"/>
      <c r="O63" s="525"/>
      <c r="P63" s="525"/>
      <c r="Q63" s="525"/>
      <c r="R63" s="525"/>
      <c r="S63" s="525"/>
      <c r="T63" s="525"/>
      <c r="U63" s="525"/>
      <c r="V63" s="525"/>
      <c r="W63" s="525"/>
      <c r="X63" s="525"/>
      <c r="Y63" s="525"/>
      <c r="Z63" s="525"/>
      <c r="AA63" s="525"/>
      <c r="AB63" s="525"/>
      <c r="AC63" s="525"/>
      <c r="AD63" s="525"/>
    </row>
    <row r="64" ht="15.75" customHeight="1">
      <c r="A64" s="571"/>
      <c r="B64" s="525"/>
      <c r="C64" s="545"/>
      <c r="D64" s="572"/>
      <c r="E64" s="545"/>
      <c r="F64" s="573"/>
      <c r="G64" s="572"/>
      <c r="H64" s="545"/>
      <c r="I64" s="547"/>
      <c r="J64" s="547"/>
      <c r="K64" s="525"/>
      <c r="L64" s="525"/>
      <c r="M64" s="525"/>
      <c r="N64" s="525"/>
      <c r="O64" s="525"/>
      <c r="P64" s="525"/>
      <c r="Q64" s="525"/>
      <c r="R64" s="525"/>
      <c r="S64" s="525"/>
      <c r="T64" s="525"/>
      <c r="U64" s="525"/>
      <c r="V64" s="525"/>
      <c r="W64" s="525"/>
      <c r="X64" s="525"/>
      <c r="Y64" s="525"/>
      <c r="Z64" s="525"/>
      <c r="AA64" s="525"/>
      <c r="AB64" s="525"/>
      <c r="AC64" s="525"/>
      <c r="AD64" s="525"/>
    </row>
    <row r="65" ht="15.75" customHeight="1">
      <c r="A65" s="571"/>
      <c r="B65" s="525"/>
      <c r="C65" s="545"/>
      <c r="D65" s="572"/>
      <c r="E65" s="545"/>
      <c r="F65" s="573"/>
      <c r="G65" s="572"/>
      <c r="H65" s="545"/>
      <c r="I65" s="547"/>
      <c r="J65" s="547"/>
      <c r="K65" s="525"/>
      <c r="L65" s="525"/>
      <c r="M65" s="525"/>
      <c r="N65" s="525"/>
      <c r="O65" s="525"/>
      <c r="P65" s="525"/>
      <c r="Q65" s="525"/>
      <c r="R65" s="525"/>
      <c r="S65" s="525"/>
      <c r="T65" s="525"/>
      <c r="U65" s="525"/>
      <c r="V65" s="525"/>
      <c r="W65" s="525"/>
      <c r="X65" s="525"/>
      <c r="Y65" s="525"/>
      <c r="Z65" s="525"/>
      <c r="AA65" s="525"/>
      <c r="AB65" s="525"/>
      <c r="AC65" s="525"/>
      <c r="AD65" s="525"/>
    </row>
    <row r="66" ht="15.75" customHeight="1">
      <c r="A66" s="571"/>
      <c r="B66" s="525"/>
      <c r="C66" s="545"/>
      <c r="D66" s="572"/>
      <c r="E66" s="545"/>
      <c r="F66" s="573"/>
      <c r="G66" s="572"/>
      <c r="H66" s="545"/>
      <c r="I66" s="547"/>
      <c r="J66" s="547"/>
      <c r="K66" s="525"/>
      <c r="L66" s="525"/>
      <c r="M66" s="525"/>
      <c r="N66" s="525"/>
      <c r="O66" s="525"/>
      <c r="P66" s="525"/>
      <c r="Q66" s="525"/>
      <c r="R66" s="525"/>
      <c r="S66" s="525"/>
      <c r="T66" s="525"/>
      <c r="U66" s="525"/>
      <c r="V66" s="525"/>
      <c r="W66" s="525"/>
      <c r="X66" s="525"/>
      <c r="Y66" s="525"/>
      <c r="Z66" s="525"/>
      <c r="AA66" s="525"/>
      <c r="AB66" s="525"/>
      <c r="AC66" s="525"/>
      <c r="AD66" s="525"/>
    </row>
    <row r="67" ht="15.75" customHeight="1">
      <c r="A67" s="571"/>
      <c r="B67" s="525"/>
      <c r="C67" s="545"/>
      <c r="D67" s="572"/>
      <c r="E67" s="545"/>
      <c r="F67" s="573"/>
      <c r="G67" s="572"/>
      <c r="H67" s="545"/>
      <c r="I67" s="547"/>
      <c r="J67" s="547"/>
      <c r="K67" s="525"/>
      <c r="L67" s="525"/>
      <c r="M67" s="525"/>
      <c r="N67" s="525"/>
      <c r="O67" s="525"/>
      <c r="P67" s="525"/>
      <c r="Q67" s="525"/>
      <c r="R67" s="525"/>
      <c r="S67" s="525"/>
      <c r="T67" s="525"/>
      <c r="U67" s="525"/>
      <c r="V67" s="525"/>
      <c r="W67" s="525"/>
      <c r="X67" s="525"/>
      <c r="Y67" s="525"/>
      <c r="Z67" s="525"/>
      <c r="AA67" s="525"/>
      <c r="AB67" s="525"/>
      <c r="AC67" s="525"/>
      <c r="AD67" s="525"/>
    </row>
    <row r="68" ht="15.75" customHeight="1">
      <c r="A68" s="571"/>
      <c r="B68" s="525"/>
      <c r="C68" s="545"/>
      <c r="D68" s="572"/>
      <c r="E68" s="545"/>
      <c r="F68" s="573"/>
      <c r="G68" s="572"/>
      <c r="H68" s="545"/>
      <c r="I68" s="547"/>
      <c r="J68" s="547"/>
      <c r="K68" s="525"/>
      <c r="L68" s="525"/>
      <c r="M68" s="525"/>
      <c r="N68" s="525"/>
      <c r="O68" s="525"/>
      <c r="P68" s="525"/>
      <c r="Q68" s="525"/>
      <c r="R68" s="525"/>
      <c r="S68" s="525"/>
      <c r="T68" s="525"/>
      <c r="U68" s="525"/>
      <c r="V68" s="525"/>
      <c r="W68" s="525"/>
      <c r="X68" s="525"/>
      <c r="Y68" s="525"/>
      <c r="Z68" s="525"/>
      <c r="AA68" s="525"/>
      <c r="AB68" s="525"/>
      <c r="AC68" s="525"/>
      <c r="AD68" s="525"/>
    </row>
    <row r="69" ht="15.75" customHeight="1">
      <c r="A69" s="571"/>
      <c r="B69" s="525"/>
      <c r="C69" s="545"/>
      <c r="D69" s="572"/>
      <c r="E69" s="545"/>
      <c r="F69" s="573"/>
      <c r="G69" s="572"/>
      <c r="H69" s="545"/>
      <c r="I69" s="547"/>
      <c r="J69" s="547"/>
      <c r="K69" s="525"/>
      <c r="L69" s="525"/>
      <c r="M69" s="525"/>
      <c r="N69" s="525"/>
      <c r="O69" s="525"/>
      <c r="P69" s="525"/>
      <c r="Q69" s="525"/>
      <c r="R69" s="525"/>
      <c r="S69" s="525"/>
      <c r="T69" s="525"/>
      <c r="U69" s="525"/>
      <c r="V69" s="525"/>
      <c r="W69" s="525"/>
      <c r="X69" s="525"/>
      <c r="Y69" s="525"/>
      <c r="Z69" s="525"/>
      <c r="AA69" s="525"/>
      <c r="AB69" s="525"/>
      <c r="AC69" s="525"/>
      <c r="AD69" s="525"/>
    </row>
    <row r="70" ht="15.75" customHeight="1">
      <c r="A70" s="571"/>
      <c r="B70" s="525"/>
      <c r="C70" s="545"/>
      <c r="D70" s="572"/>
      <c r="E70" s="545"/>
      <c r="F70" s="573"/>
      <c r="G70" s="572"/>
      <c r="H70" s="545"/>
      <c r="I70" s="547"/>
      <c r="J70" s="547"/>
      <c r="K70" s="525"/>
      <c r="L70" s="525"/>
      <c r="M70" s="525"/>
      <c r="N70" s="525"/>
      <c r="O70" s="525"/>
      <c r="P70" s="525"/>
      <c r="Q70" s="525"/>
      <c r="R70" s="525"/>
      <c r="S70" s="525"/>
      <c r="T70" s="525"/>
      <c r="U70" s="525"/>
      <c r="V70" s="525"/>
      <c r="W70" s="525"/>
      <c r="X70" s="525"/>
      <c r="Y70" s="525"/>
      <c r="Z70" s="525"/>
      <c r="AA70" s="525"/>
      <c r="AB70" s="525"/>
      <c r="AC70" s="525"/>
      <c r="AD70" s="525"/>
    </row>
    <row r="71" ht="15.75" customHeight="1">
      <c r="A71" s="571"/>
      <c r="B71" s="525"/>
      <c r="C71" s="545"/>
      <c r="D71" s="572"/>
      <c r="E71" s="545"/>
      <c r="F71" s="573"/>
      <c r="G71" s="572"/>
      <c r="H71" s="545"/>
      <c r="I71" s="547"/>
      <c r="J71" s="547"/>
      <c r="K71" s="525"/>
      <c r="L71" s="525"/>
      <c r="M71" s="525"/>
      <c r="N71" s="525"/>
      <c r="O71" s="525"/>
      <c r="P71" s="525"/>
      <c r="Q71" s="525"/>
      <c r="R71" s="525"/>
      <c r="S71" s="525"/>
      <c r="T71" s="525"/>
      <c r="U71" s="525"/>
      <c r="V71" s="525"/>
      <c r="W71" s="525"/>
      <c r="X71" s="525"/>
      <c r="Y71" s="525"/>
      <c r="Z71" s="525"/>
      <c r="AA71" s="525"/>
      <c r="AB71" s="525"/>
      <c r="AC71" s="525"/>
      <c r="AD71" s="525"/>
    </row>
    <row r="72" ht="15.75" customHeight="1">
      <c r="A72" s="571"/>
      <c r="B72" s="525"/>
      <c r="C72" s="545"/>
      <c r="D72" s="572"/>
      <c r="E72" s="545"/>
      <c r="F72" s="573"/>
      <c r="G72" s="572"/>
      <c r="H72" s="545"/>
      <c r="I72" s="547"/>
      <c r="J72" s="547"/>
      <c r="K72" s="525"/>
      <c r="L72" s="525"/>
      <c r="M72" s="525"/>
      <c r="N72" s="525"/>
      <c r="O72" s="525"/>
      <c r="P72" s="525"/>
      <c r="Q72" s="525"/>
      <c r="R72" s="525"/>
      <c r="S72" s="525"/>
      <c r="T72" s="525"/>
      <c r="U72" s="525"/>
      <c r="V72" s="525"/>
      <c r="W72" s="525"/>
      <c r="X72" s="525"/>
      <c r="Y72" s="525"/>
      <c r="Z72" s="525"/>
      <c r="AA72" s="525"/>
      <c r="AB72" s="525"/>
      <c r="AC72" s="525"/>
      <c r="AD72" s="525"/>
    </row>
    <row r="73" ht="15.75" customHeight="1">
      <c r="A73" s="571"/>
      <c r="B73" s="525"/>
      <c r="C73" s="545"/>
      <c r="D73" s="572"/>
      <c r="E73" s="545"/>
      <c r="F73" s="573"/>
      <c r="G73" s="572"/>
      <c r="H73" s="545"/>
      <c r="I73" s="547"/>
      <c r="J73" s="547"/>
      <c r="K73" s="525"/>
      <c r="L73" s="525"/>
      <c r="M73" s="525"/>
      <c r="N73" s="525"/>
      <c r="O73" s="525"/>
      <c r="P73" s="525"/>
      <c r="Q73" s="525"/>
      <c r="R73" s="525"/>
      <c r="S73" s="525"/>
      <c r="T73" s="525"/>
      <c r="U73" s="525"/>
      <c r="V73" s="525"/>
      <c r="W73" s="525"/>
      <c r="X73" s="525"/>
      <c r="Y73" s="525"/>
      <c r="Z73" s="525"/>
      <c r="AA73" s="525"/>
      <c r="AB73" s="525"/>
      <c r="AC73" s="525"/>
      <c r="AD73" s="525"/>
    </row>
    <row r="74" ht="15.75" customHeight="1">
      <c r="A74" s="571"/>
      <c r="B74" s="525"/>
      <c r="C74" s="545"/>
      <c r="D74" s="572"/>
      <c r="E74" s="545"/>
      <c r="F74" s="573"/>
      <c r="G74" s="572"/>
      <c r="H74" s="545"/>
      <c r="I74" s="547"/>
      <c r="J74" s="547"/>
      <c r="K74" s="525"/>
      <c r="L74" s="525"/>
      <c r="M74" s="525"/>
      <c r="N74" s="525"/>
      <c r="O74" s="525"/>
      <c r="P74" s="525"/>
      <c r="Q74" s="525"/>
      <c r="R74" s="525"/>
      <c r="S74" s="525"/>
      <c r="T74" s="525"/>
      <c r="U74" s="525"/>
      <c r="V74" s="525"/>
      <c r="W74" s="525"/>
      <c r="X74" s="525"/>
      <c r="Y74" s="525"/>
      <c r="Z74" s="525"/>
      <c r="AA74" s="525"/>
      <c r="AB74" s="525"/>
      <c r="AC74" s="525"/>
      <c r="AD74" s="525"/>
    </row>
    <row r="75" ht="15.75" customHeight="1">
      <c r="A75" s="571"/>
      <c r="B75" s="525"/>
      <c r="C75" s="545"/>
      <c r="D75" s="572"/>
      <c r="E75" s="545"/>
      <c r="F75" s="573"/>
      <c r="G75" s="572"/>
      <c r="H75" s="545"/>
      <c r="I75" s="547"/>
      <c r="J75" s="547"/>
      <c r="K75" s="525"/>
      <c r="L75" s="525"/>
      <c r="M75" s="525"/>
      <c r="N75" s="525"/>
      <c r="O75" s="525"/>
      <c r="P75" s="525"/>
      <c r="Q75" s="525"/>
      <c r="R75" s="525"/>
      <c r="S75" s="525"/>
      <c r="T75" s="525"/>
      <c r="U75" s="525"/>
      <c r="V75" s="525"/>
      <c r="W75" s="525"/>
      <c r="X75" s="525"/>
      <c r="Y75" s="525"/>
      <c r="Z75" s="525"/>
      <c r="AA75" s="525"/>
      <c r="AB75" s="525"/>
      <c r="AC75" s="525"/>
      <c r="AD75" s="525"/>
    </row>
    <row r="76" ht="15.75" customHeight="1">
      <c r="A76" s="571"/>
      <c r="B76" s="525"/>
      <c r="C76" s="545"/>
      <c r="D76" s="572"/>
      <c r="E76" s="545"/>
      <c r="F76" s="573"/>
      <c r="G76" s="572"/>
      <c r="H76" s="545"/>
      <c r="I76" s="547"/>
      <c r="J76" s="547"/>
      <c r="K76" s="525"/>
      <c r="L76" s="525"/>
      <c r="M76" s="525"/>
      <c r="N76" s="525"/>
      <c r="O76" s="525"/>
      <c r="P76" s="525"/>
      <c r="Q76" s="525"/>
      <c r="R76" s="525"/>
      <c r="S76" s="525"/>
      <c r="T76" s="525"/>
      <c r="U76" s="525"/>
      <c r="V76" s="525"/>
      <c r="W76" s="525"/>
      <c r="X76" s="525"/>
      <c r="Y76" s="525"/>
      <c r="Z76" s="525"/>
      <c r="AA76" s="525"/>
      <c r="AB76" s="525"/>
      <c r="AC76" s="525"/>
      <c r="AD76" s="525"/>
    </row>
    <row r="77" ht="15.75" customHeight="1">
      <c r="A77" s="571"/>
      <c r="B77" s="525"/>
      <c r="C77" s="545"/>
      <c r="D77" s="572"/>
      <c r="E77" s="545"/>
      <c r="F77" s="573"/>
      <c r="G77" s="572"/>
      <c r="H77" s="545"/>
      <c r="I77" s="547"/>
      <c r="J77" s="547"/>
      <c r="K77" s="525"/>
      <c r="L77" s="525"/>
      <c r="M77" s="525"/>
      <c r="N77" s="525"/>
      <c r="O77" s="525"/>
      <c r="P77" s="525"/>
      <c r="Q77" s="525"/>
      <c r="R77" s="525"/>
      <c r="S77" s="525"/>
      <c r="T77" s="525"/>
      <c r="U77" s="525"/>
      <c r="V77" s="525"/>
      <c r="W77" s="525"/>
      <c r="X77" s="525"/>
      <c r="Y77" s="525"/>
      <c r="Z77" s="525"/>
      <c r="AA77" s="525"/>
      <c r="AB77" s="525"/>
      <c r="AC77" s="525"/>
      <c r="AD77" s="525"/>
    </row>
    <row r="78" ht="15.75" customHeight="1">
      <c r="A78" s="571"/>
      <c r="B78" s="525"/>
      <c r="C78" s="545"/>
      <c r="D78" s="572"/>
      <c r="E78" s="545"/>
      <c r="F78" s="573"/>
      <c r="G78" s="572"/>
      <c r="H78" s="545"/>
      <c r="I78" s="547"/>
      <c r="J78" s="547"/>
      <c r="K78" s="525"/>
      <c r="L78" s="525"/>
      <c r="M78" s="525"/>
      <c r="N78" s="525"/>
      <c r="O78" s="525"/>
      <c r="P78" s="525"/>
      <c r="Q78" s="525"/>
      <c r="R78" s="525"/>
      <c r="S78" s="525"/>
      <c r="T78" s="525"/>
      <c r="U78" s="525"/>
      <c r="V78" s="525"/>
      <c r="W78" s="525"/>
      <c r="X78" s="525"/>
      <c r="Y78" s="525"/>
      <c r="Z78" s="525"/>
      <c r="AA78" s="525"/>
      <c r="AB78" s="525"/>
      <c r="AC78" s="525"/>
      <c r="AD78" s="525"/>
    </row>
    <row r="79" ht="15.75" customHeight="1">
      <c r="A79" s="571"/>
      <c r="B79" s="525"/>
      <c r="C79" s="545"/>
      <c r="D79" s="572"/>
      <c r="E79" s="545"/>
      <c r="F79" s="573"/>
      <c r="G79" s="572"/>
      <c r="H79" s="545"/>
      <c r="I79" s="547"/>
      <c r="J79" s="547"/>
      <c r="K79" s="525"/>
      <c r="L79" s="525"/>
      <c r="M79" s="525"/>
      <c r="N79" s="525"/>
      <c r="O79" s="525"/>
      <c r="P79" s="525"/>
      <c r="Q79" s="525"/>
      <c r="R79" s="525"/>
      <c r="S79" s="525"/>
      <c r="T79" s="525"/>
      <c r="U79" s="525"/>
      <c r="V79" s="525"/>
      <c r="W79" s="525"/>
      <c r="X79" s="525"/>
      <c r="Y79" s="525"/>
      <c r="Z79" s="525"/>
      <c r="AA79" s="525"/>
      <c r="AB79" s="525"/>
      <c r="AC79" s="525"/>
      <c r="AD79" s="525"/>
    </row>
    <row r="80" ht="15.75" customHeight="1">
      <c r="A80" s="571"/>
      <c r="B80" s="525"/>
      <c r="C80" s="545"/>
      <c r="D80" s="572"/>
      <c r="E80" s="545"/>
      <c r="F80" s="573"/>
      <c r="G80" s="572"/>
      <c r="H80" s="545"/>
      <c r="I80" s="547"/>
      <c r="J80" s="547"/>
      <c r="K80" s="525"/>
      <c r="L80" s="525"/>
      <c r="M80" s="525"/>
      <c r="N80" s="525"/>
      <c r="O80" s="525"/>
      <c r="P80" s="525"/>
      <c r="Q80" s="525"/>
      <c r="R80" s="525"/>
      <c r="S80" s="525"/>
      <c r="T80" s="525"/>
      <c r="U80" s="525"/>
      <c r="V80" s="525"/>
      <c r="W80" s="525"/>
      <c r="X80" s="525"/>
      <c r="Y80" s="525"/>
      <c r="Z80" s="525"/>
      <c r="AA80" s="525"/>
      <c r="AB80" s="525"/>
      <c r="AC80" s="525"/>
      <c r="AD80" s="525"/>
    </row>
    <row r="81" ht="15.75" customHeight="1">
      <c r="A81" s="571"/>
      <c r="B81" s="525"/>
      <c r="C81" s="545"/>
      <c r="D81" s="572"/>
      <c r="E81" s="545"/>
      <c r="F81" s="573"/>
      <c r="G81" s="572"/>
      <c r="H81" s="545"/>
      <c r="I81" s="547"/>
      <c r="J81" s="547"/>
      <c r="K81" s="525"/>
      <c r="L81" s="525"/>
      <c r="M81" s="525"/>
      <c r="N81" s="525"/>
      <c r="O81" s="525"/>
      <c r="P81" s="525"/>
      <c r="Q81" s="525"/>
      <c r="R81" s="525"/>
      <c r="S81" s="525"/>
      <c r="T81" s="525"/>
      <c r="U81" s="525"/>
      <c r="V81" s="525"/>
      <c r="W81" s="525"/>
      <c r="X81" s="525"/>
      <c r="Y81" s="525"/>
      <c r="Z81" s="525"/>
      <c r="AA81" s="525"/>
      <c r="AB81" s="525"/>
      <c r="AC81" s="525"/>
      <c r="AD81" s="525"/>
    </row>
    <row r="82" ht="15.75" customHeight="1">
      <c r="A82" s="571"/>
      <c r="B82" s="525"/>
      <c r="C82" s="545"/>
      <c r="D82" s="572"/>
      <c r="E82" s="545"/>
      <c r="F82" s="573"/>
      <c r="G82" s="572"/>
      <c r="H82" s="545"/>
      <c r="I82" s="547"/>
      <c r="J82" s="547"/>
      <c r="K82" s="525"/>
      <c r="L82" s="525"/>
      <c r="M82" s="525"/>
      <c r="N82" s="525"/>
      <c r="O82" s="525"/>
      <c r="P82" s="525"/>
      <c r="Q82" s="525"/>
      <c r="R82" s="525"/>
      <c r="S82" s="525"/>
      <c r="T82" s="525"/>
      <c r="U82" s="525"/>
      <c r="V82" s="525"/>
      <c r="W82" s="525"/>
      <c r="X82" s="525"/>
      <c r="Y82" s="525"/>
      <c r="Z82" s="525"/>
      <c r="AA82" s="525"/>
      <c r="AB82" s="525"/>
      <c r="AC82" s="525"/>
      <c r="AD82" s="525"/>
    </row>
    <row r="83" ht="15.75" customHeight="1">
      <c r="A83" s="571"/>
      <c r="B83" s="525"/>
      <c r="C83" s="545"/>
      <c r="D83" s="572"/>
      <c r="E83" s="545"/>
      <c r="F83" s="573"/>
      <c r="G83" s="572"/>
      <c r="H83" s="545"/>
      <c r="I83" s="547"/>
      <c r="J83" s="547"/>
      <c r="K83" s="525"/>
      <c r="L83" s="525"/>
      <c r="M83" s="525"/>
      <c r="N83" s="525"/>
      <c r="O83" s="525"/>
      <c r="P83" s="525"/>
      <c r="Q83" s="525"/>
      <c r="R83" s="525"/>
      <c r="S83" s="525"/>
      <c r="T83" s="525"/>
      <c r="U83" s="525"/>
      <c r="V83" s="525"/>
      <c r="W83" s="525"/>
      <c r="X83" s="525"/>
      <c r="Y83" s="525"/>
      <c r="Z83" s="525"/>
      <c r="AA83" s="525"/>
      <c r="AB83" s="525"/>
      <c r="AC83" s="525"/>
      <c r="AD83" s="525"/>
    </row>
    <row r="84" ht="15.75" customHeight="1">
      <c r="A84" s="571"/>
      <c r="B84" s="525"/>
      <c r="C84" s="545"/>
      <c r="D84" s="572"/>
      <c r="E84" s="545"/>
      <c r="F84" s="573"/>
      <c r="G84" s="572"/>
      <c r="H84" s="545"/>
      <c r="I84" s="547"/>
      <c r="J84" s="547"/>
      <c r="K84" s="525"/>
      <c r="L84" s="525"/>
      <c r="M84" s="525"/>
      <c r="N84" s="525"/>
      <c r="O84" s="525"/>
      <c r="P84" s="525"/>
      <c r="Q84" s="525"/>
      <c r="R84" s="525"/>
      <c r="S84" s="525"/>
      <c r="T84" s="525"/>
      <c r="U84" s="525"/>
      <c r="V84" s="525"/>
      <c r="W84" s="525"/>
      <c r="X84" s="525"/>
      <c r="Y84" s="525"/>
      <c r="Z84" s="525"/>
      <c r="AA84" s="525"/>
      <c r="AB84" s="525"/>
      <c r="AC84" s="525"/>
      <c r="AD84" s="525"/>
    </row>
    <row r="85" ht="15.75" customHeight="1">
      <c r="A85" s="571"/>
      <c r="B85" s="525"/>
      <c r="C85" s="545"/>
      <c r="D85" s="572"/>
      <c r="E85" s="545"/>
      <c r="F85" s="573"/>
      <c r="G85" s="572"/>
      <c r="H85" s="545"/>
      <c r="I85" s="547"/>
      <c r="J85" s="547"/>
      <c r="K85" s="525"/>
      <c r="L85" s="525"/>
      <c r="M85" s="525"/>
      <c r="N85" s="525"/>
      <c r="O85" s="525"/>
      <c r="P85" s="525"/>
      <c r="Q85" s="525"/>
      <c r="R85" s="525"/>
      <c r="S85" s="525"/>
      <c r="T85" s="525"/>
      <c r="U85" s="525"/>
      <c r="V85" s="525"/>
      <c r="W85" s="525"/>
      <c r="X85" s="525"/>
      <c r="Y85" s="525"/>
      <c r="Z85" s="525"/>
      <c r="AA85" s="525"/>
      <c r="AB85" s="525"/>
      <c r="AC85" s="525"/>
      <c r="AD85" s="525"/>
    </row>
    <row r="86" ht="15.75" customHeight="1">
      <c r="A86" s="571"/>
      <c r="B86" s="525"/>
      <c r="C86" s="545"/>
      <c r="D86" s="572"/>
      <c r="E86" s="545"/>
      <c r="F86" s="573"/>
      <c r="G86" s="572"/>
      <c r="H86" s="545"/>
      <c r="I86" s="547"/>
      <c r="J86" s="547"/>
      <c r="K86" s="525"/>
      <c r="L86" s="525"/>
      <c r="M86" s="525"/>
      <c r="N86" s="525"/>
      <c r="O86" s="525"/>
      <c r="P86" s="525"/>
      <c r="Q86" s="525"/>
      <c r="R86" s="525"/>
      <c r="S86" s="525"/>
      <c r="T86" s="525"/>
      <c r="U86" s="525"/>
      <c r="V86" s="525"/>
      <c r="W86" s="525"/>
      <c r="X86" s="525"/>
      <c r="Y86" s="525"/>
      <c r="Z86" s="525"/>
      <c r="AA86" s="525"/>
      <c r="AB86" s="525"/>
      <c r="AC86" s="525"/>
      <c r="AD86" s="525"/>
    </row>
    <row r="87" ht="15.75" customHeight="1">
      <c r="A87" s="571"/>
      <c r="B87" s="525"/>
      <c r="C87" s="545"/>
      <c r="D87" s="572"/>
      <c r="E87" s="545"/>
      <c r="F87" s="573"/>
      <c r="G87" s="572"/>
      <c r="H87" s="545"/>
      <c r="I87" s="547"/>
      <c r="J87" s="547"/>
      <c r="K87" s="525"/>
      <c r="L87" s="525"/>
      <c r="M87" s="525"/>
      <c r="N87" s="525"/>
      <c r="O87" s="525"/>
      <c r="P87" s="525"/>
      <c r="Q87" s="525"/>
      <c r="R87" s="525"/>
      <c r="S87" s="525"/>
      <c r="T87" s="525"/>
      <c r="U87" s="525"/>
      <c r="V87" s="525"/>
      <c r="W87" s="525"/>
      <c r="X87" s="525"/>
      <c r="Y87" s="525"/>
      <c r="Z87" s="525"/>
      <c r="AA87" s="525"/>
      <c r="AB87" s="525"/>
      <c r="AC87" s="525"/>
      <c r="AD87" s="525"/>
    </row>
    <row r="88" ht="15.75" customHeight="1">
      <c r="A88" s="571"/>
      <c r="B88" s="525"/>
      <c r="C88" s="545"/>
      <c r="D88" s="572"/>
      <c r="E88" s="545"/>
      <c r="F88" s="573"/>
      <c r="G88" s="572"/>
      <c r="H88" s="545"/>
      <c r="I88" s="547"/>
      <c r="J88" s="547"/>
      <c r="K88" s="525"/>
      <c r="L88" s="525"/>
      <c r="M88" s="525"/>
      <c r="N88" s="525"/>
      <c r="O88" s="525"/>
      <c r="P88" s="525"/>
      <c r="Q88" s="525"/>
      <c r="R88" s="525"/>
      <c r="S88" s="525"/>
      <c r="T88" s="525"/>
      <c r="U88" s="525"/>
      <c r="V88" s="525"/>
      <c r="W88" s="525"/>
      <c r="X88" s="525"/>
      <c r="Y88" s="525"/>
      <c r="Z88" s="525"/>
      <c r="AA88" s="525"/>
      <c r="AB88" s="525"/>
      <c r="AC88" s="525"/>
      <c r="AD88" s="525"/>
    </row>
    <row r="89" ht="15.75" customHeight="1">
      <c r="A89" s="571"/>
      <c r="B89" s="525"/>
      <c r="C89" s="545"/>
      <c r="D89" s="572"/>
      <c r="E89" s="545"/>
      <c r="F89" s="573"/>
      <c r="G89" s="572"/>
      <c r="H89" s="545"/>
      <c r="I89" s="547"/>
      <c r="J89" s="547"/>
      <c r="K89" s="525"/>
      <c r="L89" s="525"/>
      <c r="M89" s="525"/>
      <c r="N89" s="525"/>
      <c r="O89" s="525"/>
      <c r="P89" s="525"/>
      <c r="Q89" s="525"/>
      <c r="R89" s="525"/>
      <c r="S89" s="525"/>
      <c r="T89" s="525"/>
      <c r="U89" s="525"/>
      <c r="V89" s="525"/>
      <c r="W89" s="525"/>
      <c r="X89" s="525"/>
      <c r="Y89" s="525"/>
      <c r="Z89" s="525"/>
      <c r="AA89" s="525"/>
      <c r="AB89" s="525"/>
      <c r="AC89" s="525"/>
      <c r="AD89" s="525"/>
    </row>
    <row r="90" ht="15.75" customHeight="1">
      <c r="A90" s="571"/>
      <c r="B90" s="525"/>
      <c r="C90" s="545"/>
      <c r="D90" s="572"/>
      <c r="E90" s="545"/>
      <c r="F90" s="573"/>
      <c r="G90" s="572"/>
      <c r="H90" s="545"/>
      <c r="I90" s="547"/>
      <c r="J90" s="547"/>
      <c r="K90" s="525"/>
      <c r="L90" s="525"/>
      <c r="M90" s="525"/>
      <c r="N90" s="525"/>
      <c r="O90" s="525"/>
      <c r="P90" s="525"/>
      <c r="Q90" s="525"/>
      <c r="R90" s="525"/>
      <c r="S90" s="525"/>
      <c r="T90" s="525"/>
      <c r="U90" s="525"/>
      <c r="V90" s="525"/>
      <c r="W90" s="525"/>
      <c r="X90" s="525"/>
      <c r="Y90" s="525"/>
      <c r="Z90" s="525"/>
      <c r="AA90" s="525"/>
      <c r="AB90" s="525"/>
      <c r="AC90" s="525"/>
      <c r="AD90" s="525"/>
    </row>
    <row r="91" ht="15.75" customHeight="1">
      <c r="A91" s="571"/>
      <c r="B91" s="525"/>
      <c r="C91" s="545"/>
      <c r="D91" s="572"/>
      <c r="E91" s="545"/>
      <c r="F91" s="573"/>
      <c r="G91" s="572"/>
      <c r="H91" s="545"/>
      <c r="I91" s="547"/>
      <c r="J91" s="547"/>
      <c r="K91" s="525"/>
      <c r="L91" s="525"/>
      <c r="M91" s="525"/>
      <c r="N91" s="525"/>
      <c r="O91" s="525"/>
      <c r="P91" s="525"/>
      <c r="Q91" s="525"/>
      <c r="R91" s="525"/>
      <c r="S91" s="525"/>
      <c r="T91" s="525"/>
      <c r="U91" s="525"/>
      <c r="V91" s="525"/>
      <c r="W91" s="525"/>
      <c r="X91" s="525"/>
      <c r="Y91" s="525"/>
      <c r="Z91" s="525"/>
      <c r="AA91" s="525"/>
      <c r="AB91" s="525"/>
      <c r="AC91" s="525"/>
      <c r="AD91" s="525"/>
    </row>
    <row r="92" ht="15.75" customHeight="1">
      <c r="A92" s="571"/>
      <c r="B92" s="525"/>
      <c r="C92" s="545"/>
      <c r="D92" s="572"/>
      <c r="E92" s="545"/>
      <c r="F92" s="573"/>
      <c r="G92" s="572"/>
      <c r="H92" s="545"/>
      <c r="I92" s="547"/>
      <c r="J92" s="547"/>
      <c r="K92" s="525"/>
      <c r="L92" s="525"/>
      <c r="M92" s="525"/>
      <c r="N92" s="525"/>
      <c r="O92" s="525"/>
      <c r="P92" s="525"/>
      <c r="Q92" s="525"/>
      <c r="R92" s="525"/>
      <c r="S92" s="525"/>
      <c r="T92" s="525"/>
      <c r="U92" s="525"/>
      <c r="V92" s="525"/>
      <c r="W92" s="525"/>
      <c r="X92" s="525"/>
      <c r="Y92" s="525"/>
      <c r="Z92" s="525"/>
      <c r="AA92" s="525"/>
      <c r="AB92" s="525"/>
      <c r="AC92" s="525"/>
      <c r="AD92" s="525"/>
    </row>
    <row r="93" ht="15.75" customHeight="1">
      <c r="A93" s="571"/>
      <c r="B93" s="525"/>
      <c r="C93" s="545"/>
      <c r="D93" s="572"/>
      <c r="E93" s="545"/>
      <c r="F93" s="573"/>
      <c r="G93" s="572"/>
      <c r="H93" s="545"/>
      <c r="I93" s="547"/>
      <c r="J93" s="547"/>
      <c r="K93" s="525"/>
      <c r="L93" s="525"/>
      <c r="M93" s="525"/>
      <c r="N93" s="525"/>
      <c r="O93" s="525"/>
      <c r="P93" s="525"/>
      <c r="Q93" s="525"/>
      <c r="R93" s="525"/>
      <c r="S93" s="525"/>
      <c r="T93" s="525"/>
      <c r="U93" s="525"/>
      <c r="V93" s="525"/>
      <c r="W93" s="525"/>
      <c r="X93" s="525"/>
      <c r="Y93" s="525"/>
      <c r="Z93" s="525"/>
      <c r="AA93" s="525"/>
      <c r="AB93" s="525"/>
      <c r="AC93" s="525"/>
      <c r="AD93" s="525"/>
    </row>
    <row r="94" ht="15.75" customHeight="1">
      <c r="A94" s="571"/>
      <c r="B94" s="525"/>
      <c r="C94" s="545"/>
      <c r="D94" s="572"/>
      <c r="E94" s="545"/>
      <c r="F94" s="573"/>
      <c r="G94" s="572"/>
      <c r="H94" s="545"/>
      <c r="I94" s="547"/>
      <c r="J94" s="547"/>
      <c r="K94" s="525"/>
      <c r="L94" s="525"/>
      <c r="M94" s="525"/>
      <c r="N94" s="525"/>
      <c r="O94" s="525"/>
      <c r="P94" s="525"/>
      <c r="Q94" s="525"/>
      <c r="R94" s="525"/>
      <c r="S94" s="525"/>
      <c r="T94" s="525"/>
      <c r="U94" s="525"/>
      <c r="V94" s="525"/>
      <c r="W94" s="525"/>
      <c r="X94" s="525"/>
      <c r="Y94" s="525"/>
      <c r="Z94" s="525"/>
      <c r="AA94" s="525"/>
      <c r="AB94" s="525"/>
      <c r="AC94" s="525"/>
      <c r="AD94" s="525"/>
    </row>
    <row r="95" ht="15.75" customHeight="1">
      <c r="A95" s="571"/>
      <c r="B95" s="525"/>
      <c r="C95" s="545"/>
      <c r="D95" s="572"/>
      <c r="E95" s="545"/>
      <c r="F95" s="573"/>
      <c r="G95" s="572"/>
      <c r="H95" s="545"/>
      <c r="I95" s="547"/>
      <c r="J95" s="547"/>
      <c r="K95" s="525"/>
      <c r="L95" s="525"/>
      <c r="M95" s="525"/>
      <c r="N95" s="525"/>
      <c r="O95" s="525"/>
      <c r="P95" s="525"/>
      <c r="Q95" s="525"/>
      <c r="R95" s="525"/>
      <c r="S95" s="525"/>
      <c r="T95" s="525"/>
      <c r="U95" s="525"/>
      <c r="V95" s="525"/>
      <c r="W95" s="525"/>
      <c r="X95" s="525"/>
      <c r="Y95" s="525"/>
      <c r="Z95" s="525"/>
      <c r="AA95" s="525"/>
      <c r="AB95" s="525"/>
      <c r="AC95" s="525"/>
      <c r="AD95" s="525"/>
    </row>
    <row r="96" ht="15.75" customHeight="1">
      <c r="A96" s="571"/>
      <c r="B96" s="525"/>
      <c r="C96" s="545"/>
      <c r="D96" s="572"/>
      <c r="E96" s="545"/>
      <c r="F96" s="573"/>
      <c r="G96" s="572"/>
      <c r="H96" s="545"/>
      <c r="I96" s="547"/>
      <c r="J96" s="547"/>
      <c r="K96" s="525"/>
      <c r="L96" s="525"/>
      <c r="M96" s="525"/>
      <c r="N96" s="525"/>
      <c r="O96" s="525"/>
      <c r="P96" s="525"/>
      <c r="Q96" s="525"/>
      <c r="R96" s="525"/>
      <c r="S96" s="525"/>
      <c r="T96" s="525"/>
      <c r="U96" s="525"/>
      <c r="V96" s="525"/>
      <c r="W96" s="525"/>
      <c r="X96" s="525"/>
      <c r="Y96" s="525"/>
      <c r="Z96" s="525"/>
      <c r="AA96" s="525"/>
      <c r="AB96" s="525"/>
      <c r="AC96" s="525"/>
      <c r="AD96" s="525"/>
    </row>
    <row r="97" ht="15.75" customHeight="1">
      <c r="A97" s="571"/>
      <c r="B97" s="525"/>
      <c r="C97" s="545"/>
      <c r="D97" s="572"/>
      <c r="E97" s="545"/>
      <c r="F97" s="573"/>
      <c r="G97" s="572"/>
      <c r="H97" s="545"/>
      <c r="I97" s="547"/>
      <c r="J97" s="547"/>
      <c r="K97" s="525"/>
      <c r="L97" s="525"/>
      <c r="M97" s="525"/>
      <c r="N97" s="525"/>
      <c r="O97" s="525"/>
      <c r="P97" s="525"/>
      <c r="Q97" s="525"/>
      <c r="R97" s="525"/>
      <c r="S97" s="525"/>
      <c r="T97" s="525"/>
      <c r="U97" s="525"/>
      <c r="V97" s="525"/>
      <c r="W97" s="525"/>
      <c r="X97" s="525"/>
      <c r="Y97" s="525"/>
      <c r="Z97" s="525"/>
      <c r="AA97" s="525"/>
      <c r="AB97" s="525"/>
      <c r="AC97" s="525"/>
      <c r="AD97" s="525"/>
    </row>
    <row r="98" ht="15.75" customHeight="1">
      <c r="A98" s="571"/>
      <c r="B98" s="525"/>
      <c r="C98" s="545"/>
      <c r="D98" s="572"/>
      <c r="E98" s="545"/>
      <c r="F98" s="573"/>
      <c r="G98" s="572"/>
      <c r="H98" s="545"/>
      <c r="I98" s="547"/>
      <c r="J98" s="547"/>
      <c r="K98" s="525"/>
      <c r="L98" s="525"/>
      <c r="M98" s="525"/>
      <c r="N98" s="525"/>
      <c r="O98" s="525"/>
      <c r="P98" s="525"/>
      <c r="Q98" s="525"/>
      <c r="R98" s="525"/>
      <c r="S98" s="525"/>
      <c r="T98" s="525"/>
      <c r="U98" s="525"/>
      <c r="V98" s="525"/>
      <c r="W98" s="525"/>
      <c r="X98" s="525"/>
      <c r="Y98" s="525"/>
      <c r="Z98" s="525"/>
      <c r="AA98" s="525"/>
      <c r="AB98" s="525"/>
      <c r="AC98" s="525"/>
      <c r="AD98" s="525"/>
    </row>
    <row r="99" ht="15.75" customHeight="1">
      <c r="A99" s="571"/>
      <c r="B99" s="525"/>
      <c r="C99" s="545"/>
      <c r="D99" s="572"/>
      <c r="E99" s="545"/>
      <c r="F99" s="573"/>
      <c r="G99" s="572"/>
      <c r="H99" s="545"/>
      <c r="I99" s="547"/>
      <c r="J99" s="547"/>
      <c r="K99" s="525"/>
      <c r="L99" s="525"/>
      <c r="M99" s="525"/>
      <c r="N99" s="525"/>
      <c r="O99" s="525"/>
      <c r="P99" s="525"/>
      <c r="Q99" s="525"/>
      <c r="R99" s="525"/>
      <c r="S99" s="525"/>
      <c r="T99" s="525"/>
      <c r="U99" s="525"/>
      <c r="V99" s="525"/>
      <c r="W99" s="525"/>
      <c r="X99" s="525"/>
      <c r="Y99" s="525"/>
      <c r="Z99" s="525"/>
      <c r="AA99" s="525"/>
      <c r="AB99" s="525"/>
      <c r="AC99" s="525"/>
      <c r="AD99" s="525"/>
    </row>
    <row r="100" ht="15.75" customHeight="1">
      <c r="A100" s="571"/>
      <c r="B100" s="525"/>
      <c r="C100" s="545"/>
      <c r="D100" s="572"/>
      <c r="E100" s="545"/>
      <c r="F100" s="573"/>
      <c r="G100" s="572"/>
      <c r="H100" s="545"/>
      <c r="I100" s="547"/>
      <c r="J100" s="547"/>
      <c r="K100" s="525"/>
      <c r="L100" s="525"/>
      <c r="M100" s="525"/>
      <c r="N100" s="525"/>
      <c r="O100" s="525"/>
      <c r="P100" s="525"/>
      <c r="Q100" s="525"/>
      <c r="R100" s="525"/>
      <c r="S100" s="525"/>
      <c r="T100" s="525"/>
      <c r="U100" s="525"/>
      <c r="V100" s="525"/>
      <c r="W100" s="525"/>
      <c r="X100" s="525"/>
      <c r="Y100" s="525"/>
      <c r="Z100" s="525"/>
      <c r="AA100" s="525"/>
      <c r="AB100" s="525"/>
      <c r="AC100" s="525"/>
      <c r="AD100" s="525"/>
    </row>
    <row r="101" ht="15.75" customHeight="1">
      <c r="A101" s="571"/>
      <c r="B101" s="525"/>
      <c r="C101" s="545"/>
      <c r="D101" s="572"/>
      <c r="E101" s="545"/>
      <c r="F101" s="573"/>
      <c r="G101" s="572"/>
      <c r="H101" s="545"/>
      <c r="I101" s="547"/>
      <c r="J101" s="547"/>
      <c r="K101" s="525"/>
      <c r="L101" s="525"/>
      <c r="M101" s="525"/>
      <c r="N101" s="525"/>
      <c r="O101" s="525"/>
      <c r="P101" s="525"/>
      <c r="Q101" s="525"/>
      <c r="R101" s="525"/>
      <c r="S101" s="525"/>
      <c r="T101" s="525"/>
      <c r="U101" s="525"/>
      <c r="V101" s="525"/>
      <c r="W101" s="525"/>
      <c r="X101" s="525"/>
      <c r="Y101" s="525"/>
      <c r="Z101" s="525"/>
      <c r="AA101" s="525"/>
      <c r="AB101" s="525"/>
      <c r="AC101" s="525"/>
      <c r="AD101" s="525"/>
    </row>
    <row r="102" ht="15.75" customHeight="1">
      <c r="A102" s="571"/>
      <c r="B102" s="525"/>
      <c r="C102" s="545"/>
      <c r="D102" s="572"/>
      <c r="E102" s="545"/>
      <c r="F102" s="573"/>
      <c r="G102" s="572"/>
      <c r="H102" s="545"/>
      <c r="I102" s="547"/>
      <c r="J102" s="547"/>
      <c r="K102" s="525"/>
      <c r="L102" s="525"/>
      <c r="M102" s="525"/>
      <c r="N102" s="525"/>
      <c r="O102" s="525"/>
      <c r="P102" s="525"/>
      <c r="Q102" s="525"/>
      <c r="R102" s="525"/>
      <c r="S102" s="525"/>
      <c r="T102" s="525"/>
      <c r="U102" s="525"/>
      <c r="V102" s="525"/>
      <c r="W102" s="525"/>
      <c r="X102" s="525"/>
      <c r="Y102" s="525"/>
      <c r="Z102" s="525"/>
      <c r="AA102" s="525"/>
      <c r="AB102" s="525"/>
      <c r="AC102" s="525"/>
      <c r="AD102" s="525"/>
    </row>
    <row r="103" ht="15.75" customHeight="1">
      <c r="A103" s="571"/>
      <c r="B103" s="525"/>
      <c r="C103" s="545"/>
      <c r="D103" s="572"/>
      <c r="E103" s="545"/>
      <c r="F103" s="573"/>
      <c r="G103" s="572"/>
      <c r="H103" s="545"/>
      <c r="I103" s="547"/>
      <c r="J103" s="547"/>
      <c r="K103" s="525"/>
      <c r="L103" s="525"/>
      <c r="M103" s="525"/>
      <c r="N103" s="525"/>
      <c r="O103" s="525"/>
      <c r="P103" s="525"/>
      <c r="Q103" s="525"/>
      <c r="R103" s="525"/>
      <c r="S103" s="525"/>
      <c r="T103" s="525"/>
      <c r="U103" s="525"/>
      <c r="V103" s="525"/>
      <c r="W103" s="525"/>
      <c r="X103" s="525"/>
      <c r="Y103" s="525"/>
      <c r="Z103" s="525"/>
      <c r="AA103" s="525"/>
      <c r="AB103" s="525"/>
      <c r="AC103" s="525"/>
      <c r="AD103" s="525"/>
    </row>
    <row r="104" ht="15.75" customHeight="1">
      <c r="A104" s="571"/>
      <c r="B104" s="525"/>
      <c r="C104" s="545"/>
      <c r="D104" s="572"/>
      <c r="E104" s="545"/>
      <c r="F104" s="573"/>
      <c r="G104" s="572"/>
      <c r="H104" s="545"/>
      <c r="I104" s="547"/>
      <c r="J104" s="547"/>
      <c r="K104" s="525"/>
      <c r="L104" s="525"/>
      <c r="M104" s="525"/>
      <c r="N104" s="525"/>
      <c r="O104" s="525"/>
      <c r="P104" s="525"/>
      <c r="Q104" s="525"/>
      <c r="R104" s="525"/>
      <c r="S104" s="525"/>
      <c r="T104" s="525"/>
      <c r="U104" s="525"/>
      <c r="V104" s="525"/>
      <c r="W104" s="525"/>
      <c r="X104" s="525"/>
      <c r="Y104" s="525"/>
      <c r="Z104" s="525"/>
      <c r="AA104" s="525"/>
      <c r="AB104" s="525"/>
      <c r="AC104" s="525"/>
      <c r="AD104" s="525"/>
    </row>
    <row r="105" ht="15.75" customHeight="1">
      <c r="A105" s="571"/>
      <c r="B105" s="525"/>
      <c r="C105" s="545"/>
      <c r="D105" s="572"/>
      <c r="E105" s="545"/>
      <c r="F105" s="573"/>
      <c r="G105" s="572"/>
      <c r="H105" s="545"/>
      <c r="I105" s="547"/>
      <c r="J105" s="547"/>
      <c r="K105" s="525"/>
      <c r="L105" s="525"/>
      <c r="M105" s="525"/>
      <c r="N105" s="525"/>
      <c r="O105" s="525"/>
      <c r="P105" s="525"/>
      <c r="Q105" s="525"/>
      <c r="R105" s="525"/>
      <c r="S105" s="525"/>
      <c r="T105" s="525"/>
      <c r="U105" s="525"/>
      <c r="V105" s="525"/>
      <c r="W105" s="525"/>
      <c r="X105" s="525"/>
      <c r="Y105" s="525"/>
      <c r="Z105" s="525"/>
      <c r="AA105" s="525"/>
      <c r="AB105" s="525"/>
      <c r="AC105" s="525"/>
      <c r="AD105" s="525"/>
    </row>
    <row r="106" ht="15.75" customHeight="1">
      <c r="A106" s="571"/>
      <c r="B106" s="525"/>
      <c r="C106" s="545"/>
      <c r="D106" s="572"/>
      <c r="E106" s="545"/>
      <c r="F106" s="573"/>
      <c r="G106" s="572"/>
      <c r="H106" s="545"/>
      <c r="I106" s="547"/>
      <c r="J106" s="547"/>
      <c r="K106" s="525"/>
      <c r="L106" s="525"/>
      <c r="M106" s="525"/>
      <c r="N106" s="525"/>
      <c r="O106" s="525"/>
      <c r="P106" s="525"/>
      <c r="Q106" s="525"/>
      <c r="R106" s="525"/>
      <c r="S106" s="525"/>
      <c r="T106" s="525"/>
      <c r="U106" s="525"/>
      <c r="V106" s="525"/>
      <c r="W106" s="525"/>
      <c r="X106" s="525"/>
      <c r="Y106" s="525"/>
      <c r="Z106" s="525"/>
      <c r="AA106" s="525"/>
      <c r="AB106" s="525"/>
      <c r="AC106" s="525"/>
      <c r="AD106" s="525"/>
    </row>
    <row r="107" ht="15.75" customHeight="1">
      <c r="A107" s="571"/>
      <c r="B107" s="525"/>
      <c r="C107" s="545"/>
      <c r="D107" s="572"/>
      <c r="E107" s="545"/>
      <c r="F107" s="573"/>
      <c r="G107" s="572"/>
      <c r="H107" s="545"/>
      <c r="I107" s="547"/>
      <c r="J107" s="547"/>
      <c r="K107" s="525"/>
      <c r="L107" s="525"/>
      <c r="M107" s="525"/>
      <c r="N107" s="525"/>
      <c r="O107" s="525"/>
      <c r="P107" s="525"/>
      <c r="Q107" s="525"/>
      <c r="R107" s="525"/>
      <c r="S107" s="525"/>
      <c r="T107" s="525"/>
      <c r="U107" s="525"/>
      <c r="V107" s="525"/>
      <c r="W107" s="525"/>
      <c r="X107" s="525"/>
      <c r="Y107" s="525"/>
      <c r="Z107" s="525"/>
      <c r="AA107" s="525"/>
      <c r="AB107" s="525"/>
      <c r="AC107" s="525"/>
      <c r="AD107" s="525"/>
    </row>
    <row r="108" ht="15.75" customHeight="1">
      <c r="A108" s="571"/>
      <c r="B108" s="525"/>
      <c r="C108" s="545"/>
      <c r="D108" s="572"/>
      <c r="E108" s="545"/>
      <c r="F108" s="573"/>
      <c r="G108" s="572"/>
      <c r="H108" s="545"/>
      <c r="I108" s="547"/>
      <c r="J108" s="547"/>
      <c r="K108" s="525"/>
      <c r="L108" s="525"/>
      <c r="M108" s="525"/>
      <c r="N108" s="525"/>
      <c r="O108" s="525"/>
      <c r="P108" s="525"/>
      <c r="Q108" s="525"/>
      <c r="R108" s="525"/>
      <c r="S108" s="525"/>
      <c r="T108" s="525"/>
      <c r="U108" s="525"/>
      <c r="V108" s="525"/>
      <c r="W108" s="525"/>
      <c r="X108" s="525"/>
      <c r="Y108" s="525"/>
      <c r="Z108" s="525"/>
      <c r="AA108" s="525"/>
      <c r="AB108" s="525"/>
      <c r="AC108" s="525"/>
      <c r="AD108" s="525"/>
    </row>
    <row r="109" ht="15.75" customHeight="1">
      <c r="A109" s="571"/>
      <c r="B109" s="525"/>
      <c r="C109" s="545"/>
      <c r="D109" s="572"/>
      <c r="E109" s="545"/>
      <c r="F109" s="573"/>
      <c r="G109" s="572"/>
      <c r="H109" s="545"/>
      <c r="I109" s="547"/>
      <c r="J109" s="547"/>
      <c r="K109" s="525"/>
      <c r="L109" s="525"/>
      <c r="M109" s="525"/>
      <c r="N109" s="525"/>
      <c r="O109" s="525"/>
      <c r="P109" s="525"/>
      <c r="Q109" s="525"/>
      <c r="R109" s="525"/>
      <c r="S109" s="525"/>
      <c r="T109" s="525"/>
      <c r="U109" s="525"/>
      <c r="V109" s="525"/>
      <c r="W109" s="525"/>
      <c r="X109" s="525"/>
      <c r="Y109" s="525"/>
      <c r="Z109" s="525"/>
      <c r="AA109" s="525"/>
      <c r="AB109" s="525"/>
      <c r="AC109" s="525"/>
      <c r="AD109" s="525"/>
    </row>
    <row r="110" ht="15.75" customHeight="1">
      <c r="A110" s="571"/>
      <c r="B110" s="525"/>
      <c r="C110" s="545"/>
      <c r="D110" s="572"/>
      <c r="E110" s="545"/>
      <c r="F110" s="573"/>
      <c r="G110" s="572"/>
      <c r="H110" s="545"/>
      <c r="I110" s="547"/>
      <c r="J110" s="547"/>
      <c r="K110" s="525"/>
      <c r="L110" s="525"/>
      <c r="M110" s="525"/>
      <c r="N110" s="525"/>
      <c r="O110" s="525"/>
      <c r="P110" s="525"/>
      <c r="Q110" s="525"/>
      <c r="R110" s="525"/>
      <c r="S110" s="525"/>
      <c r="T110" s="525"/>
      <c r="U110" s="525"/>
      <c r="V110" s="525"/>
      <c r="W110" s="525"/>
      <c r="X110" s="525"/>
      <c r="Y110" s="525"/>
      <c r="Z110" s="525"/>
      <c r="AA110" s="525"/>
      <c r="AB110" s="525"/>
      <c r="AC110" s="525"/>
      <c r="AD110" s="525"/>
    </row>
    <row r="111" ht="15.75" customHeight="1">
      <c r="A111" s="571"/>
      <c r="B111" s="525"/>
      <c r="C111" s="545"/>
      <c r="D111" s="572"/>
      <c r="E111" s="545"/>
      <c r="F111" s="573"/>
      <c r="G111" s="572"/>
      <c r="H111" s="545"/>
      <c r="I111" s="547"/>
      <c r="J111" s="547"/>
      <c r="K111" s="525"/>
      <c r="L111" s="525"/>
      <c r="M111" s="525"/>
      <c r="N111" s="525"/>
      <c r="O111" s="525"/>
      <c r="P111" s="525"/>
      <c r="Q111" s="525"/>
      <c r="R111" s="525"/>
      <c r="S111" s="525"/>
      <c r="T111" s="525"/>
      <c r="U111" s="525"/>
      <c r="V111" s="525"/>
      <c r="W111" s="525"/>
      <c r="X111" s="525"/>
      <c r="Y111" s="525"/>
      <c r="Z111" s="525"/>
      <c r="AA111" s="525"/>
      <c r="AB111" s="525"/>
      <c r="AC111" s="525"/>
      <c r="AD111" s="525"/>
    </row>
    <row r="112" ht="15.75" customHeight="1">
      <c r="A112" s="571"/>
      <c r="B112" s="525"/>
      <c r="C112" s="545"/>
      <c r="D112" s="572"/>
      <c r="E112" s="545"/>
      <c r="F112" s="573"/>
      <c r="G112" s="572"/>
      <c r="H112" s="545"/>
      <c r="I112" s="547"/>
      <c r="J112" s="547"/>
      <c r="K112" s="525"/>
      <c r="L112" s="525"/>
      <c r="M112" s="525"/>
      <c r="N112" s="525"/>
      <c r="O112" s="525"/>
      <c r="P112" s="525"/>
      <c r="Q112" s="525"/>
      <c r="R112" s="525"/>
      <c r="S112" s="525"/>
      <c r="T112" s="525"/>
      <c r="U112" s="525"/>
      <c r="V112" s="525"/>
      <c r="W112" s="525"/>
      <c r="X112" s="525"/>
      <c r="Y112" s="525"/>
      <c r="Z112" s="525"/>
      <c r="AA112" s="525"/>
      <c r="AB112" s="525"/>
      <c r="AC112" s="525"/>
      <c r="AD112" s="525"/>
    </row>
    <row r="113" ht="15.75" customHeight="1">
      <c r="A113" s="571"/>
      <c r="B113" s="525"/>
      <c r="C113" s="545"/>
      <c r="D113" s="572"/>
      <c r="E113" s="545"/>
      <c r="F113" s="573"/>
      <c r="G113" s="572"/>
      <c r="H113" s="545"/>
      <c r="I113" s="547"/>
      <c r="J113" s="547"/>
      <c r="K113" s="525"/>
      <c r="L113" s="525"/>
      <c r="M113" s="525"/>
      <c r="N113" s="525"/>
      <c r="O113" s="525"/>
      <c r="P113" s="525"/>
      <c r="Q113" s="525"/>
      <c r="R113" s="525"/>
      <c r="S113" s="525"/>
      <c r="T113" s="525"/>
      <c r="U113" s="525"/>
      <c r="V113" s="525"/>
      <c r="W113" s="525"/>
      <c r="X113" s="525"/>
      <c r="Y113" s="525"/>
      <c r="Z113" s="525"/>
      <c r="AA113" s="525"/>
      <c r="AB113" s="525"/>
      <c r="AC113" s="525"/>
      <c r="AD113" s="525"/>
    </row>
    <row r="114" ht="15.75" customHeight="1">
      <c r="A114" s="571"/>
      <c r="B114" s="525"/>
      <c r="C114" s="545"/>
      <c r="D114" s="572"/>
      <c r="E114" s="545"/>
      <c r="F114" s="573"/>
      <c r="G114" s="572"/>
      <c r="H114" s="545"/>
      <c r="I114" s="547"/>
      <c r="J114" s="547"/>
      <c r="K114" s="525"/>
      <c r="L114" s="525"/>
      <c r="M114" s="525"/>
      <c r="N114" s="525"/>
      <c r="O114" s="525"/>
      <c r="P114" s="525"/>
      <c r="Q114" s="525"/>
      <c r="R114" s="525"/>
      <c r="S114" s="525"/>
      <c r="T114" s="525"/>
      <c r="U114" s="525"/>
      <c r="V114" s="525"/>
      <c r="W114" s="525"/>
      <c r="X114" s="525"/>
      <c r="Y114" s="525"/>
      <c r="Z114" s="525"/>
      <c r="AA114" s="525"/>
      <c r="AB114" s="525"/>
      <c r="AC114" s="525"/>
      <c r="AD114" s="525"/>
    </row>
    <row r="115" ht="15.75" customHeight="1">
      <c r="A115" s="571"/>
      <c r="B115" s="525"/>
      <c r="C115" s="545"/>
      <c r="D115" s="572"/>
      <c r="E115" s="545"/>
      <c r="F115" s="573"/>
      <c r="G115" s="572"/>
      <c r="H115" s="545"/>
      <c r="I115" s="547"/>
      <c r="J115" s="547"/>
      <c r="K115" s="525"/>
      <c r="L115" s="525"/>
      <c r="M115" s="525"/>
      <c r="N115" s="525"/>
      <c r="O115" s="525"/>
      <c r="P115" s="525"/>
      <c r="Q115" s="525"/>
      <c r="R115" s="525"/>
      <c r="S115" s="525"/>
      <c r="T115" s="525"/>
      <c r="U115" s="525"/>
      <c r="V115" s="525"/>
      <c r="W115" s="525"/>
      <c r="X115" s="525"/>
      <c r="Y115" s="525"/>
      <c r="Z115" s="525"/>
      <c r="AA115" s="525"/>
      <c r="AB115" s="525"/>
      <c r="AC115" s="525"/>
      <c r="AD115" s="525"/>
    </row>
    <row r="116" ht="15.75" customHeight="1">
      <c r="A116" s="571"/>
      <c r="B116" s="525"/>
      <c r="C116" s="545"/>
      <c r="D116" s="572"/>
      <c r="E116" s="545"/>
      <c r="F116" s="573"/>
      <c r="G116" s="572"/>
      <c r="H116" s="545"/>
      <c r="I116" s="547"/>
      <c r="J116" s="547"/>
      <c r="K116" s="525"/>
      <c r="L116" s="525"/>
      <c r="M116" s="525"/>
      <c r="N116" s="525"/>
      <c r="O116" s="525"/>
      <c r="P116" s="525"/>
      <c r="Q116" s="525"/>
      <c r="R116" s="525"/>
      <c r="S116" s="525"/>
      <c r="T116" s="525"/>
      <c r="U116" s="525"/>
      <c r="V116" s="525"/>
      <c r="W116" s="525"/>
      <c r="X116" s="525"/>
      <c r="Y116" s="525"/>
      <c r="Z116" s="525"/>
      <c r="AA116" s="525"/>
      <c r="AB116" s="525"/>
      <c r="AC116" s="525"/>
      <c r="AD116" s="525"/>
    </row>
    <row r="117" ht="15.75" customHeight="1">
      <c r="A117" s="571"/>
      <c r="B117" s="525"/>
      <c r="C117" s="545"/>
      <c r="D117" s="572"/>
      <c r="E117" s="545"/>
      <c r="F117" s="573"/>
      <c r="G117" s="572"/>
      <c r="H117" s="545"/>
      <c r="I117" s="547"/>
      <c r="J117" s="547"/>
      <c r="K117" s="525"/>
      <c r="L117" s="525"/>
      <c r="M117" s="525"/>
      <c r="N117" s="525"/>
      <c r="O117" s="525"/>
      <c r="P117" s="525"/>
      <c r="Q117" s="525"/>
      <c r="R117" s="525"/>
      <c r="S117" s="525"/>
      <c r="T117" s="525"/>
      <c r="U117" s="525"/>
      <c r="V117" s="525"/>
      <c r="W117" s="525"/>
      <c r="X117" s="525"/>
      <c r="Y117" s="525"/>
      <c r="Z117" s="525"/>
      <c r="AA117" s="525"/>
      <c r="AB117" s="525"/>
      <c r="AC117" s="525"/>
      <c r="AD117" s="525"/>
    </row>
    <row r="118" ht="15.75" customHeight="1">
      <c r="A118" s="571"/>
      <c r="B118" s="525"/>
      <c r="C118" s="545"/>
      <c r="D118" s="572"/>
      <c r="E118" s="545"/>
      <c r="F118" s="573"/>
      <c r="G118" s="572"/>
      <c r="H118" s="545"/>
      <c r="I118" s="547"/>
      <c r="J118" s="547"/>
      <c r="K118" s="525"/>
      <c r="L118" s="525"/>
      <c r="M118" s="525"/>
      <c r="N118" s="525"/>
      <c r="O118" s="525"/>
      <c r="P118" s="525"/>
      <c r="Q118" s="525"/>
      <c r="R118" s="525"/>
      <c r="S118" s="525"/>
      <c r="T118" s="525"/>
      <c r="U118" s="525"/>
      <c r="V118" s="525"/>
      <c r="W118" s="525"/>
      <c r="X118" s="525"/>
      <c r="Y118" s="525"/>
      <c r="Z118" s="525"/>
      <c r="AA118" s="525"/>
      <c r="AB118" s="525"/>
      <c r="AC118" s="525"/>
      <c r="AD118" s="525"/>
    </row>
    <row r="119" ht="15.75" customHeight="1">
      <c r="A119" s="571"/>
      <c r="B119" s="525"/>
      <c r="C119" s="545"/>
      <c r="D119" s="572"/>
      <c r="E119" s="545"/>
      <c r="F119" s="573"/>
      <c r="G119" s="572"/>
      <c r="H119" s="545"/>
      <c r="I119" s="547"/>
      <c r="J119" s="547"/>
      <c r="K119" s="525"/>
      <c r="L119" s="525"/>
      <c r="M119" s="525"/>
      <c r="N119" s="525"/>
      <c r="O119" s="525"/>
      <c r="P119" s="525"/>
      <c r="Q119" s="525"/>
      <c r="R119" s="525"/>
      <c r="S119" s="525"/>
      <c r="T119" s="525"/>
      <c r="U119" s="525"/>
      <c r="V119" s="525"/>
      <c r="W119" s="525"/>
      <c r="X119" s="525"/>
      <c r="Y119" s="525"/>
      <c r="Z119" s="525"/>
      <c r="AA119" s="525"/>
      <c r="AB119" s="525"/>
      <c r="AC119" s="525"/>
      <c r="AD119" s="525"/>
    </row>
    <row r="120" ht="15.75" customHeight="1">
      <c r="A120" s="571"/>
      <c r="B120" s="525"/>
      <c r="C120" s="545"/>
      <c r="D120" s="572"/>
      <c r="E120" s="545"/>
      <c r="F120" s="573"/>
      <c r="G120" s="572"/>
      <c r="H120" s="545"/>
      <c r="I120" s="547"/>
      <c r="J120" s="547"/>
      <c r="K120" s="525"/>
      <c r="L120" s="525"/>
      <c r="M120" s="525"/>
      <c r="N120" s="525"/>
      <c r="O120" s="525"/>
      <c r="P120" s="525"/>
      <c r="Q120" s="525"/>
      <c r="R120" s="525"/>
      <c r="S120" s="525"/>
      <c r="T120" s="525"/>
      <c r="U120" s="525"/>
      <c r="V120" s="525"/>
      <c r="W120" s="525"/>
      <c r="X120" s="525"/>
      <c r="Y120" s="525"/>
      <c r="Z120" s="525"/>
      <c r="AA120" s="525"/>
      <c r="AB120" s="525"/>
      <c r="AC120" s="525"/>
      <c r="AD120" s="525"/>
    </row>
    <row r="121" ht="15.75" customHeight="1">
      <c r="A121" s="571"/>
      <c r="B121" s="525"/>
      <c r="C121" s="545"/>
      <c r="D121" s="572"/>
      <c r="E121" s="545"/>
      <c r="F121" s="573"/>
      <c r="G121" s="572"/>
      <c r="H121" s="545"/>
      <c r="I121" s="547"/>
      <c r="J121" s="547"/>
      <c r="K121" s="525"/>
      <c r="L121" s="525"/>
      <c r="M121" s="525"/>
      <c r="N121" s="525"/>
      <c r="O121" s="525"/>
      <c r="P121" s="525"/>
      <c r="Q121" s="525"/>
      <c r="R121" s="525"/>
      <c r="S121" s="525"/>
      <c r="T121" s="525"/>
      <c r="U121" s="525"/>
      <c r="V121" s="525"/>
      <c r="W121" s="525"/>
      <c r="X121" s="525"/>
      <c r="Y121" s="525"/>
      <c r="Z121" s="525"/>
      <c r="AA121" s="525"/>
      <c r="AB121" s="525"/>
      <c r="AC121" s="525"/>
      <c r="AD121" s="525"/>
    </row>
    <row r="122" ht="15.75" customHeight="1">
      <c r="A122" s="571"/>
      <c r="B122" s="525"/>
      <c r="C122" s="545"/>
      <c r="D122" s="572"/>
      <c r="E122" s="545"/>
      <c r="F122" s="573"/>
      <c r="G122" s="572"/>
      <c r="H122" s="545"/>
      <c r="I122" s="547"/>
      <c r="J122" s="547"/>
      <c r="K122" s="525"/>
      <c r="L122" s="525"/>
      <c r="M122" s="525"/>
      <c r="N122" s="525"/>
      <c r="O122" s="525"/>
      <c r="P122" s="525"/>
      <c r="Q122" s="525"/>
      <c r="R122" s="525"/>
      <c r="S122" s="525"/>
      <c r="T122" s="525"/>
      <c r="U122" s="525"/>
      <c r="V122" s="525"/>
      <c r="W122" s="525"/>
      <c r="X122" s="525"/>
      <c r="Y122" s="525"/>
      <c r="Z122" s="525"/>
      <c r="AA122" s="525"/>
      <c r="AB122" s="525"/>
      <c r="AC122" s="525"/>
      <c r="AD122" s="525"/>
    </row>
    <row r="123" ht="15.75" customHeight="1">
      <c r="A123" s="571"/>
      <c r="B123" s="525"/>
      <c r="C123" s="545"/>
      <c r="D123" s="572"/>
      <c r="E123" s="545"/>
      <c r="F123" s="573"/>
      <c r="G123" s="572"/>
      <c r="H123" s="545"/>
      <c r="I123" s="547"/>
      <c r="J123" s="547"/>
      <c r="K123" s="525"/>
      <c r="L123" s="525"/>
      <c r="M123" s="525"/>
      <c r="N123" s="525"/>
      <c r="O123" s="525"/>
      <c r="P123" s="525"/>
      <c r="Q123" s="525"/>
      <c r="R123" s="525"/>
      <c r="S123" s="525"/>
      <c r="T123" s="525"/>
      <c r="U123" s="525"/>
      <c r="V123" s="525"/>
      <c r="W123" s="525"/>
      <c r="X123" s="525"/>
      <c r="Y123" s="525"/>
      <c r="Z123" s="525"/>
      <c r="AA123" s="525"/>
      <c r="AB123" s="525"/>
      <c r="AC123" s="525"/>
      <c r="AD123" s="525"/>
    </row>
    <row r="124" ht="15.75" customHeight="1">
      <c r="A124" s="571"/>
      <c r="B124" s="525"/>
      <c r="C124" s="545"/>
      <c r="D124" s="572"/>
      <c r="E124" s="545"/>
      <c r="F124" s="573"/>
      <c r="G124" s="572"/>
      <c r="H124" s="545"/>
      <c r="I124" s="547"/>
      <c r="J124" s="547"/>
      <c r="K124" s="525"/>
      <c r="L124" s="525"/>
      <c r="M124" s="525"/>
      <c r="N124" s="525"/>
      <c r="O124" s="525"/>
      <c r="P124" s="525"/>
      <c r="Q124" s="525"/>
      <c r="R124" s="525"/>
      <c r="S124" s="525"/>
      <c r="T124" s="525"/>
      <c r="U124" s="525"/>
      <c r="V124" s="525"/>
      <c r="W124" s="525"/>
      <c r="X124" s="525"/>
      <c r="Y124" s="525"/>
      <c r="Z124" s="525"/>
      <c r="AA124" s="525"/>
      <c r="AB124" s="525"/>
      <c r="AC124" s="525"/>
      <c r="AD124" s="525"/>
    </row>
    <row r="125" ht="15.75" customHeight="1">
      <c r="A125" s="571"/>
      <c r="B125" s="525"/>
      <c r="C125" s="545"/>
      <c r="D125" s="572"/>
      <c r="E125" s="545"/>
      <c r="F125" s="573"/>
      <c r="G125" s="572"/>
      <c r="H125" s="545"/>
      <c r="I125" s="547"/>
      <c r="J125" s="547"/>
      <c r="K125" s="525"/>
      <c r="L125" s="525"/>
      <c r="M125" s="525"/>
      <c r="N125" s="525"/>
      <c r="O125" s="525"/>
      <c r="P125" s="525"/>
      <c r="Q125" s="525"/>
      <c r="R125" s="525"/>
      <c r="S125" s="525"/>
      <c r="T125" s="525"/>
      <c r="U125" s="525"/>
      <c r="V125" s="525"/>
      <c r="W125" s="525"/>
      <c r="X125" s="525"/>
      <c r="Y125" s="525"/>
      <c r="Z125" s="525"/>
      <c r="AA125" s="525"/>
      <c r="AB125" s="525"/>
      <c r="AC125" s="525"/>
      <c r="AD125" s="525"/>
    </row>
    <row r="126" ht="15.75" customHeight="1">
      <c r="A126" s="571"/>
      <c r="B126" s="525"/>
      <c r="C126" s="545"/>
      <c r="D126" s="572"/>
      <c r="E126" s="545"/>
      <c r="F126" s="573"/>
      <c r="G126" s="572"/>
      <c r="H126" s="545"/>
      <c r="I126" s="547"/>
      <c r="J126" s="547"/>
      <c r="K126" s="525"/>
      <c r="L126" s="525"/>
      <c r="M126" s="525"/>
      <c r="N126" s="525"/>
      <c r="O126" s="525"/>
      <c r="P126" s="525"/>
      <c r="Q126" s="525"/>
      <c r="R126" s="525"/>
      <c r="S126" s="525"/>
      <c r="T126" s="525"/>
      <c r="U126" s="525"/>
      <c r="V126" s="525"/>
      <c r="W126" s="525"/>
      <c r="X126" s="525"/>
      <c r="Y126" s="525"/>
      <c r="Z126" s="525"/>
      <c r="AA126" s="525"/>
      <c r="AB126" s="525"/>
      <c r="AC126" s="525"/>
      <c r="AD126" s="525"/>
    </row>
    <row r="127" ht="15.75" customHeight="1">
      <c r="A127" s="571"/>
      <c r="B127" s="525"/>
      <c r="C127" s="545"/>
      <c r="D127" s="572"/>
      <c r="E127" s="545"/>
      <c r="F127" s="573"/>
      <c r="G127" s="572"/>
      <c r="H127" s="545"/>
      <c r="I127" s="547"/>
      <c r="J127" s="547"/>
      <c r="K127" s="525"/>
      <c r="L127" s="525"/>
      <c r="M127" s="525"/>
      <c r="N127" s="525"/>
      <c r="O127" s="525"/>
      <c r="P127" s="525"/>
      <c r="Q127" s="525"/>
      <c r="R127" s="525"/>
      <c r="S127" s="525"/>
      <c r="T127" s="525"/>
      <c r="U127" s="525"/>
      <c r="V127" s="525"/>
      <c r="W127" s="525"/>
      <c r="X127" s="525"/>
      <c r="Y127" s="525"/>
      <c r="Z127" s="525"/>
      <c r="AA127" s="525"/>
      <c r="AB127" s="525"/>
      <c r="AC127" s="525"/>
      <c r="AD127" s="525"/>
    </row>
    <row r="128" ht="15.75" customHeight="1">
      <c r="A128" s="571"/>
      <c r="B128" s="525"/>
      <c r="C128" s="545"/>
      <c r="D128" s="572"/>
      <c r="E128" s="545"/>
      <c r="F128" s="573"/>
      <c r="G128" s="572"/>
      <c r="H128" s="545"/>
      <c r="I128" s="547"/>
      <c r="J128" s="547"/>
      <c r="K128" s="525"/>
      <c r="L128" s="525"/>
      <c r="M128" s="525"/>
      <c r="N128" s="525"/>
      <c r="O128" s="525"/>
      <c r="P128" s="525"/>
      <c r="Q128" s="525"/>
      <c r="R128" s="525"/>
      <c r="S128" s="525"/>
      <c r="T128" s="525"/>
      <c r="U128" s="525"/>
      <c r="V128" s="525"/>
      <c r="W128" s="525"/>
      <c r="X128" s="525"/>
      <c r="Y128" s="525"/>
      <c r="Z128" s="525"/>
      <c r="AA128" s="525"/>
      <c r="AB128" s="525"/>
      <c r="AC128" s="525"/>
      <c r="AD128" s="525"/>
    </row>
    <row r="129" ht="15.75" customHeight="1">
      <c r="A129" s="571"/>
      <c r="B129" s="525"/>
      <c r="C129" s="545"/>
      <c r="D129" s="572"/>
      <c r="E129" s="545"/>
      <c r="F129" s="573"/>
      <c r="G129" s="572"/>
      <c r="H129" s="545"/>
      <c r="I129" s="547"/>
      <c r="J129" s="547"/>
      <c r="K129" s="525"/>
      <c r="L129" s="525"/>
      <c r="M129" s="525"/>
      <c r="N129" s="525"/>
      <c r="O129" s="525"/>
      <c r="P129" s="525"/>
      <c r="Q129" s="525"/>
      <c r="R129" s="525"/>
      <c r="S129" s="525"/>
      <c r="T129" s="525"/>
      <c r="U129" s="525"/>
      <c r="V129" s="525"/>
      <c r="W129" s="525"/>
      <c r="X129" s="525"/>
      <c r="Y129" s="525"/>
      <c r="Z129" s="525"/>
      <c r="AA129" s="525"/>
      <c r="AB129" s="525"/>
      <c r="AC129" s="525"/>
      <c r="AD129" s="525"/>
    </row>
    <row r="130" ht="15.75" customHeight="1">
      <c r="A130" s="571"/>
      <c r="B130" s="525"/>
      <c r="C130" s="545"/>
      <c r="D130" s="572"/>
      <c r="E130" s="545"/>
      <c r="F130" s="573"/>
      <c r="G130" s="572"/>
      <c r="H130" s="545"/>
      <c r="I130" s="547"/>
      <c r="J130" s="547"/>
      <c r="K130" s="525"/>
      <c r="L130" s="525"/>
      <c r="M130" s="525"/>
      <c r="N130" s="525"/>
      <c r="O130" s="525"/>
      <c r="P130" s="525"/>
      <c r="Q130" s="525"/>
      <c r="R130" s="525"/>
      <c r="S130" s="525"/>
      <c r="T130" s="525"/>
      <c r="U130" s="525"/>
      <c r="V130" s="525"/>
      <c r="W130" s="525"/>
      <c r="X130" s="525"/>
      <c r="Y130" s="525"/>
      <c r="Z130" s="525"/>
      <c r="AA130" s="525"/>
      <c r="AB130" s="525"/>
      <c r="AC130" s="525"/>
      <c r="AD130" s="525"/>
    </row>
    <row r="131" ht="15.75" customHeight="1">
      <c r="A131" s="571"/>
      <c r="B131" s="525"/>
      <c r="C131" s="545"/>
      <c r="D131" s="572"/>
      <c r="E131" s="545"/>
      <c r="F131" s="573"/>
      <c r="G131" s="572"/>
      <c r="H131" s="545"/>
      <c r="I131" s="547"/>
      <c r="J131" s="547"/>
      <c r="K131" s="525"/>
      <c r="L131" s="525"/>
      <c r="M131" s="525"/>
      <c r="N131" s="525"/>
      <c r="O131" s="525"/>
      <c r="P131" s="525"/>
      <c r="Q131" s="525"/>
      <c r="R131" s="525"/>
      <c r="S131" s="525"/>
      <c r="T131" s="525"/>
      <c r="U131" s="525"/>
      <c r="V131" s="525"/>
      <c r="W131" s="525"/>
      <c r="X131" s="525"/>
      <c r="Y131" s="525"/>
      <c r="Z131" s="525"/>
      <c r="AA131" s="525"/>
      <c r="AB131" s="525"/>
      <c r="AC131" s="525"/>
      <c r="AD131" s="525"/>
    </row>
    <row r="132" ht="15.75" customHeight="1">
      <c r="A132" s="571"/>
      <c r="B132" s="525"/>
      <c r="C132" s="545"/>
      <c r="D132" s="572"/>
      <c r="E132" s="545"/>
      <c r="F132" s="573"/>
      <c r="G132" s="572"/>
      <c r="H132" s="545"/>
      <c r="I132" s="547"/>
      <c r="J132" s="547"/>
      <c r="K132" s="525"/>
      <c r="L132" s="525"/>
      <c r="M132" s="525"/>
      <c r="N132" s="525"/>
      <c r="O132" s="525"/>
      <c r="P132" s="525"/>
      <c r="Q132" s="525"/>
      <c r="R132" s="525"/>
      <c r="S132" s="525"/>
      <c r="T132" s="525"/>
      <c r="U132" s="525"/>
      <c r="V132" s="525"/>
      <c r="W132" s="525"/>
      <c r="X132" s="525"/>
      <c r="Y132" s="525"/>
      <c r="Z132" s="525"/>
      <c r="AA132" s="525"/>
      <c r="AB132" s="525"/>
      <c r="AC132" s="525"/>
      <c r="AD132" s="525"/>
    </row>
    <row r="133" ht="15.75" customHeight="1">
      <c r="A133" s="571"/>
      <c r="B133" s="525"/>
      <c r="C133" s="545"/>
      <c r="D133" s="572"/>
      <c r="E133" s="545"/>
      <c r="F133" s="573"/>
      <c r="G133" s="572"/>
      <c r="H133" s="545"/>
      <c r="I133" s="547"/>
      <c r="J133" s="547"/>
      <c r="K133" s="525"/>
      <c r="L133" s="525"/>
      <c r="M133" s="525"/>
      <c r="N133" s="525"/>
      <c r="O133" s="525"/>
      <c r="P133" s="525"/>
      <c r="Q133" s="525"/>
      <c r="R133" s="525"/>
      <c r="S133" s="525"/>
      <c r="T133" s="525"/>
      <c r="U133" s="525"/>
      <c r="V133" s="525"/>
      <c r="W133" s="525"/>
      <c r="X133" s="525"/>
      <c r="Y133" s="525"/>
      <c r="Z133" s="525"/>
      <c r="AA133" s="525"/>
      <c r="AB133" s="525"/>
      <c r="AC133" s="525"/>
      <c r="AD133" s="525"/>
    </row>
    <row r="134" ht="15.75" customHeight="1">
      <c r="A134" s="571"/>
      <c r="B134" s="525"/>
      <c r="C134" s="545"/>
      <c r="D134" s="572"/>
      <c r="E134" s="545"/>
      <c r="F134" s="573"/>
      <c r="G134" s="572"/>
      <c r="H134" s="545"/>
      <c r="I134" s="547"/>
      <c r="J134" s="547"/>
      <c r="K134" s="525"/>
      <c r="L134" s="525"/>
      <c r="M134" s="525"/>
      <c r="N134" s="525"/>
      <c r="O134" s="525"/>
      <c r="P134" s="525"/>
      <c r="Q134" s="525"/>
      <c r="R134" s="525"/>
      <c r="S134" s="525"/>
      <c r="T134" s="525"/>
      <c r="U134" s="525"/>
      <c r="V134" s="525"/>
      <c r="W134" s="525"/>
      <c r="X134" s="525"/>
      <c r="Y134" s="525"/>
      <c r="Z134" s="525"/>
      <c r="AA134" s="525"/>
      <c r="AB134" s="525"/>
      <c r="AC134" s="525"/>
      <c r="AD134" s="525"/>
    </row>
    <row r="135" ht="15.75" customHeight="1">
      <c r="A135" s="571"/>
      <c r="B135" s="525"/>
      <c r="C135" s="545"/>
      <c r="D135" s="572"/>
      <c r="E135" s="545"/>
      <c r="F135" s="573"/>
      <c r="G135" s="572"/>
      <c r="H135" s="545"/>
      <c r="I135" s="547"/>
      <c r="J135" s="547"/>
      <c r="K135" s="525"/>
      <c r="L135" s="525"/>
      <c r="M135" s="525"/>
      <c r="N135" s="525"/>
      <c r="O135" s="525"/>
      <c r="P135" s="525"/>
      <c r="Q135" s="525"/>
      <c r="R135" s="525"/>
      <c r="S135" s="525"/>
      <c r="T135" s="525"/>
      <c r="U135" s="525"/>
      <c r="V135" s="525"/>
      <c r="W135" s="525"/>
      <c r="X135" s="525"/>
      <c r="Y135" s="525"/>
      <c r="Z135" s="525"/>
      <c r="AA135" s="525"/>
      <c r="AB135" s="525"/>
      <c r="AC135" s="525"/>
      <c r="AD135" s="525"/>
    </row>
    <row r="136" ht="15.75" customHeight="1">
      <c r="A136" s="571"/>
      <c r="B136" s="525"/>
      <c r="C136" s="545"/>
      <c r="D136" s="572"/>
      <c r="E136" s="545"/>
      <c r="F136" s="573"/>
      <c r="G136" s="572"/>
      <c r="H136" s="545"/>
      <c r="I136" s="547"/>
      <c r="J136" s="547"/>
      <c r="K136" s="525"/>
      <c r="L136" s="525"/>
      <c r="M136" s="525"/>
      <c r="N136" s="525"/>
      <c r="O136" s="525"/>
      <c r="P136" s="525"/>
      <c r="Q136" s="525"/>
      <c r="R136" s="525"/>
      <c r="S136" s="525"/>
      <c r="T136" s="525"/>
      <c r="U136" s="525"/>
      <c r="V136" s="525"/>
      <c r="W136" s="525"/>
      <c r="X136" s="525"/>
      <c r="Y136" s="525"/>
      <c r="Z136" s="525"/>
      <c r="AA136" s="525"/>
      <c r="AB136" s="525"/>
      <c r="AC136" s="525"/>
      <c r="AD136" s="525"/>
    </row>
    <row r="137" ht="15.75" customHeight="1">
      <c r="A137" s="571"/>
      <c r="B137" s="525"/>
      <c r="C137" s="545"/>
      <c r="D137" s="572"/>
      <c r="E137" s="545"/>
      <c r="F137" s="573"/>
      <c r="G137" s="572"/>
      <c r="H137" s="545"/>
      <c r="I137" s="547"/>
      <c r="J137" s="547"/>
      <c r="K137" s="525"/>
      <c r="L137" s="525"/>
      <c r="M137" s="525"/>
      <c r="N137" s="525"/>
      <c r="O137" s="525"/>
      <c r="P137" s="525"/>
      <c r="Q137" s="525"/>
      <c r="R137" s="525"/>
      <c r="S137" s="525"/>
      <c r="T137" s="525"/>
      <c r="U137" s="525"/>
      <c r="V137" s="525"/>
      <c r="W137" s="525"/>
      <c r="X137" s="525"/>
      <c r="Y137" s="525"/>
      <c r="Z137" s="525"/>
      <c r="AA137" s="525"/>
      <c r="AB137" s="525"/>
      <c r="AC137" s="525"/>
      <c r="AD137" s="525"/>
    </row>
    <row r="138" ht="15.75" customHeight="1">
      <c r="A138" s="571"/>
      <c r="B138" s="525"/>
      <c r="C138" s="545"/>
      <c r="D138" s="572"/>
      <c r="E138" s="545"/>
      <c r="F138" s="573"/>
      <c r="G138" s="572"/>
      <c r="H138" s="545"/>
      <c r="I138" s="547"/>
      <c r="J138" s="547"/>
      <c r="K138" s="525"/>
      <c r="L138" s="525"/>
      <c r="M138" s="525"/>
      <c r="N138" s="525"/>
      <c r="O138" s="525"/>
      <c r="P138" s="525"/>
      <c r="Q138" s="525"/>
      <c r="R138" s="525"/>
      <c r="S138" s="525"/>
      <c r="T138" s="525"/>
      <c r="U138" s="525"/>
      <c r="V138" s="525"/>
      <c r="W138" s="525"/>
      <c r="X138" s="525"/>
      <c r="Y138" s="525"/>
      <c r="Z138" s="525"/>
      <c r="AA138" s="525"/>
      <c r="AB138" s="525"/>
      <c r="AC138" s="525"/>
      <c r="AD138" s="525"/>
    </row>
    <row r="139" ht="15.75" customHeight="1">
      <c r="A139" s="571"/>
      <c r="B139" s="525"/>
      <c r="C139" s="545"/>
      <c r="D139" s="572"/>
      <c r="E139" s="545"/>
      <c r="F139" s="573"/>
      <c r="G139" s="572"/>
      <c r="H139" s="545"/>
      <c r="I139" s="547"/>
      <c r="J139" s="547"/>
      <c r="K139" s="525"/>
      <c r="L139" s="525"/>
      <c r="M139" s="525"/>
      <c r="N139" s="525"/>
      <c r="O139" s="525"/>
      <c r="P139" s="525"/>
      <c r="Q139" s="525"/>
      <c r="R139" s="525"/>
      <c r="S139" s="525"/>
      <c r="T139" s="525"/>
      <c r="U139" s="525"/>
      <c r="V139" s="525"/>
      <c r="W139" s="525"/>
      <c r="X139" s="525"/>
      <c r="Y139" s="525"/>
      <c r="Z139" s="525"/>
      <c r="AA139" s="525"/>
      <c r="AB139" s="525"/>
      <c r="AC139" s="525"/>
      <c r="AD139" s="525"/>
    </row>
    <row r="140" ht="15.75" customHeight="1">
      <c r="A140" s="571"/>
      <c r="B140" s="525"/>
      <c r="C140" s="545"/>
      <c r="D140" s="572"/>
      <c r="E140" s="545"/>
      <c r="F140" s="573"/>
      <c r="G140" s="572"/>
      <c r="H140" s="545"/>
      <c r="I140" s="547"/>
      <c r="J140" s="547"/>
      <c r="K140" s="525"/>
      <c r="L140" s="525"/>
      <c r="M140" s="525"/>
      <c r="N140" s="525"/>
      <c r="O140" s="525"/>
      <c r="P140" s="525"/>
      <c r="Q140" s="525"/>
      <c r="R140" s="525"/>
      <c r="S140" s="525"/>
      <c r="T140" s="525"/>
      <c r="U140" s="525"/>
      <c r="V140" s="525"/>
      <c r="W140" s="525"/>
      <c r="X140" s="525"/>
      <c r="Y140" s="525"/>
      <c r="Z140" s="525"/>
      <c r="AA140" s="525"/>
      <c r="AB140" s="525"/>
      <c r="AC140" s="525"/>
      <c r="AD140" s="525"/>
    </row>
    <row r="141" ht="15.75" customHeight="1">
      <c r="A141" s="571"/>
      <c r="B141" s="525"/>
      <c r="C141" s="545"/>
      <c r="D141" s="572"/>
      <c r="E141" s="545"/>
      <c r="F141" s="573"/>
      <c r="G141" s="572"/>
      <c r="H141" s="545"/>
      <c r="I141" s="547"/>
      <c r="J141" s="547"/>
      <c r="K141" s="525"/>
      <c r="L141" s="525"/>
      <c r="M141" s="525"/>
      <c r="N141" s="525"/>
      <c r="O141" s="525"/>
      <c r="P141" s="525"/>
      <c r="Q141" s="525"/>
      <c r="R141" s="525"/>
      <c r="S141" s="525"/>
      <c r="T141" s="525"/>
      <c r="U141" s="525"/>
      <c r="V141" s="525"/>
      <c r="W141" s="525"/>
      <c r="X141" s="525"/>
      <c r="Y141" s="525"/>
      <c r="Z141" s="525"/>
      <c r="AA141" s="525"/>
      <c r="AB141" s="525"/>
      <c r="AC141" s="525"/>
      <c r="AD141" s="525"/>
    </row>
    <row r="142" ht="15.75" customHeight="1">
      <c r="A142" s="571"/>
      <c r="B142" s="525"/>
      <c r="C142" s="545"/>
      <c r="D142" s="572"/>
      <c r="E142" s="545"/>
      <c r="F142" s="573"/>
      <c r="G142" s="572"/>
      <c r="H142" s="545"/>
      <c r="I142" s="547"/>
      <c r="J142" s="547"/>
      <c r="K142" s="525"/>
      <c r="L142" s="525"/>
      <c r="M142" s="525"/>
      <c r="N142" s="525"/>
      <c r="O142" s="525"/>
      <c r="P142" s="525"/>
      <c r="Q142" s="525"/>
      <c r="R142" s="525"/>
      <c r="S142" s="525"/>
      <c r="T142" s="525"/>
      <c r="U142" s="525"/>
      <c r="V142" s="525"/>
      <c r="W142" s="525"/>
      <c r="X142" s="525"/>
      <c r="Y142" s="525"/>
      <c r="Z142" s="525"/>
      <c r="AA142" s="525"/>
      <c r="AB142" s="525"/>
      <c r="AC142" s="525"/>
      <c r="AD142" s="525"/>
    </row>
    <row r="143" ht="15.75" customHeight="1">
      <c r="A143" s="571"/>
      <c r="B143" s="525"/>
      <c r="C143" s="545"/>
      <c r="D143" s="572"/>
      <c r="E143" s="545"/>
      <c r="F143" s="573"/>
      <c r="G143" s="572"/>
      <c r="H143" s="545"/>
      <c r="I143" s="547"/>
      <c r="J143" s="547"/>
      <c r="K143" s="525"/>
      <c r="L143" s="525"/>
      <c r="M143" s="525"/>
      <c r="N143" s="525"/>
      <c r="O143" s="525"/>
      <c r="P143" s="525"/>
      <c r="Q143" s="525"/>
      <c r="R143" s="525"/>
      <c r="S143" s="525"/>
      <c r="T143" s="525"/>
      <c r="U143" s="525"/>
      <c r="V143" s="525"/>
      <c r="W143" s="525"/>
      <c r="X143" s="525"/>
      <c r="Y143" s="525"/>
      <c r="Z143" s="525"/>
      <c r="AA143" s="525"/>
      <c r="AB143" s="525"/>
      <c r="AC143" s="525"/>
      <c r="AD143" s="525"/>
    </row>
    <row r="144" ht="15.75" customHeight="1">
      <c r="A144" s="571"/>
      <c r="B144" s="525"/>
      <c r="C144" s="545"/>
      <c r="D144" s="572"/>
      <c r="E144" s="545"/>
      <c r="F144" s="573"/>
      <c r="G144" s="572"/>
      <c r="H144" s="545"/>
      <c r="I144" s="547"/>
      <c r="J144" s="547"/>
      <c r="K144" s="525"/>
      <c r="L144" s="525"/>
      <c r="M144" s="525"/>
      <c r="N144" s="525"/>
      <c r="O144" s="525"/>
      <c r="P144" s="525"/>
      <c r="Q144" s="525"/>
      <c r="R144" s="525"/>
      <c r="S144" s="525"/>
      <c r="T144" s="525"/>
      <c r="U144" s="525"/>
      <c r="V144" s="525"/>
      <c r="W144" s="525"/>
      <c r="X144" s="525"/>
      <c r="Y144" s="525"/>
      <c r="Z144" s="525"/>
      <c r="AA144" s="525"/>
      <c r="AB144" s="525"/>
      <c r="AC144" s="525"/>
      <c r="AD144" s="525"/>
    </row>
    <row r="145" ht="15.75" customHeight="1">
      <c r="A145" s="571"/>
      <c r="B145" s="525"/>
      <c r="C145" s="545"/>
      <c r="D145" s="572"/>
      <c r="E145" s="545"/>
      <c r="F145" s="573"/>
      <c r="G145" s="572"/>
      <c r="H145" s="545"/>
      <c r="I145" s="547"/>
      <c r="J145" s="547"/>
      <c r="K145" s="525"/>
      <c r="L145" s="525"/>
      <c r="M145" s="525"/>
      <c r="N145" s="525"/>
      <c r="O145" s="525"/>
      <c r="P145" s="525"/>
      <c r="Q145" s="525"/>
      <c r="R145" s="525"/>
      <c r="S145" s="525"/>
      <c r="T145" s="525"/>
      <c r="U145" s="525"/>
      <c r="V145" s="525"/>
      <c r="W145" s="525"/>
      <c r="X145" s="525"/>
      <c r="Y145" s="525"/>
      <c r="Z145" s="525"/>
      <c r="AA145" s="525"/>
      <c r="AB145" s="525"/>
      <c r="AC145" s="525"/>
      <c r="AD145" s="525"/>
    </row>
    <row r="146" ht="15.75" customHeight="1">
      <c r="A146" s="571"/>
      <c r="B146" s="525"/>
      <c r="C146" s="545"/>
      <c r="D146" s="572"/>
      <c r="E146" s="545"/>
      <c r="F146" s="573"/>
      <c r="G146" s="572"/>
      <c r="H146" s="545"/>
      <c r="I146" s="547"/>
      <c r="J146" s="547"/>
      <c r="K146" s="525"/>
      <c r="L146" s="525"/>
      <c r="M146" s="525"/>
      <c r="N146" s="525"/>
      <c r="O146" s="525"/>
      <c r="P146" s="525"/>
      <c r="Q146" s="525"/>
      <c r="R146" s="525"/>
      <c r="S146" s="525"/>
      <c r="T146" s="525"/>
      <c r="U146" s="525"/>
      <c r="V146" s="525"/>
      <c r="W146" s="525"/>
      <c r="X146" s="525"/>
      <c r="Y146" s="525"/>
      <c r="Z146" s="525"/>
      <c r="AA146" s="525"/>
      <c r="AB146" s="525"/>
      <c r="AC146" s="525"/>
      <c r="AD146" s="525"/>
    </row>
    <row r="147" ht="15.75" customHeight="1">
      <c r="A147" s="571"/>
      <c r="B147" s="525"/>
      <c r="C147" s="545"/>
      <c r="D147" s="572"/>
      <c r="E147" s="545"/>
      <c r="F147" s="573"/>
      <c r="G147" s="572"/>
      <c r="H147" s="545"/>
      <c r="I147" s="547"/>
      <c r="J147" s="547"/>
      <c r="K147" s="525"/>
      <c r="L147" s="525"/>
      <c r="M147" s="525"/>
      <c r="N147" s="525"/>
      <c r="O147" s="525"/>
      <c r="P147" s="525"/>
      <c r="Q147" s="525"/>
      <c r="R147" s="525"/>
      <c r="S147" s="525"/>
      <c r="T147" s="525"/>
      <c r="U147" s="525"/>
      <c r="V147" s="525"/>
      <c r="W147" s="525"/>
      <c r="X147" s="525"/>
      <c r="Y147" s="525"/>
      <c r="Z147" s="525"/>
      <c r="AA147" s="525"/>
      <c r="AB147" s="525"/>
      <c r="AC147" s="525"/>
      <c r="AD147" s="525"/>
    </row>
    <row r="148" ht="15.75" customHeight="1">
      <c r="A148" s="571"/>
      <c r="B148" s="525"/>
      <c r="C148" s="545"/>
      <c r="D148" s="572"/>
      <c r="E148" s="545"/>
      <c r="F148" s="573"/>
      <c r="G148" s="572"/>
      <c r="H148" s="545"/>
      <c r="I148" s="547"/>
      <c r="J148" s="547"/>
      <c r="K148" s="525"/>
      <c r="L148" s="525"/>
      <c r="M148" s="525"/>
      <c r="N148" s="525"/>
      <c r="O148" s="525"/>
      <c r="P148" s="525"/>
      <c r="Q148" s="525"/>
      <c r="R148" s="525"/>
      <c r="S148" s="525"/>
      <c r="T148" s="525"/>
      <c r="U148" s="525"/>
      <c r="V148" s="525"/>
      <c r="W148" s="525"/>
      <c r="X148" s="525"/>
      <c r="Y148" s="525"/>
      <c r="Z148" s="525"/>
      <c r="AA148" s="525"/>
      <c r="AB148" s="525"/>
      <c r="AC148" s="525"/>
      <c r="AD148" s="525"/>
    </row>
    <row r="149" ht="15.75" customHeight="1">
      <c r="A149" s="571"/>
      <c r="B149" s="525"/>
      <c r="C149" s="545"/>
      <c r="D149" s="572"/>
      <c r="E149" s="545"/>
      <c r="F149" s="573"/>
      <c r="G149" s="572"/>
      <c r="H149" s="545"/>
      <c r="I149" s="547"/>
      <c r="J149" s="547"/>
      <c r="K149" s="525"/>
      <c r="L149" s="525"/>
      <c r="M149" s="525"/>
      <c r="N149" s="525"/>
      <c r="O149" s="525"/>
      <c r="P149" s="525"/>
      <c r="Q149" s="525"/>
      <c r="R149" s="525"/>
      <c r="S149" s="525"/>
      <c r="T149" s="525"/>
      <c r="U149" s="525"/>
      <c r="V149" s="525"/>
      <c r="W149" s="525"/>
      <c r="X149" s="525"/>
      <c r="Y149" s="525"/>
      <c r="Z149" s="525"/>
      <c r="AA149" s="525"/>
      <c r="AB149" s="525"/>
      <c r="AC149" s="525"/>
      <c r="AD149" s="525"/>
    </row>
    <row r="150" ht="15.75" customHeight="1">
      <c r="A150" s="571"/>
      <c r="B150" s="525"/>
      <c r="C150" s="545"/>
      <c r="D150" s="572"/>
      <c r="E150" s="545"/>
      <c r="F150" s="573"/>
      <c r="G150" s="572"/>
      <c r="H150" s="545"/>
      <c r="I150" s="547"/>
      <c r="J150" s="547"/>
      <c r="K150" s="525"/>
      <c r="L150" s="525"/>
      <c r="M150" s="525"/>
      <c r="N150" s="525"/>
      <c r="O150" s="525"/>
      <c r="P150" s="525"/>
      <c r="Q150" s="525"/>
      <c r="R150" s="525"/>
      <c r="S150" s="525"/>
      <c r="T150" s="525"/>
      <c r="U150" s="525"/>
      <c r="V150" s="525"/>
      <c r="W150" s="525"/>
      <c r="X150" s="525"/>
      <c r="Y150" s="525"/>
      <c r="Z150" s="525"/>
      <c r="AA150" s="525"/>
      <c r="AB150" s="525"/>
      <c r="AC150" s="525"/>
      <c r="AD150" s="525"/>
    </row>
    <row r="151" ht="15.75" customHeight="1">
      <c r="A151" s="571"/>
      <c r="B151" s="525"/>
      <c r="C151" s="545"/>
      <c r="D151" s="572"/>
      <c r="E151" s="545"/>
      <c r="F151" s="573"/>
      <c r="G151" s="572"/>
      <c r="H151" s="545"/>
      <c r="I151" s="547"/>
      <c r="J151" s="547"/>
      <c r="K151" s="525"/>
      <c r="L151" s="525"/>
      <c r="M151" s="525"/>
      <c r="N151" s="525"/>
      <c r="O151" s="525"/>
      <c r="P151" s="525"/>
      <c r="Q151" s="525"/>
      <c r="R151" s="525"/>
      <c r="S151" s="525"/>
      <c r="T151" s="525"/>
      <c r="U151" s="525"/>
      <c r="V151" s="525"/>
      <c r="W151" s="525"/>
      <c r="X151" s="525"/>
      <c r="Y151" s="525"/>
      <c r="Z151" s="525"/>
      <c r="AA151" s="525"/>
      <c r="AB151" s="525"/>
      <c r="AC151" s="525"/>
      <c r="AD151" s="525"/>
    </row>
    <row r="152" ht="15.75" customHeight="1">
      <c r="A152" s="571"/>
      <c r="B152" s="525"/>
      <c r="C152" s="545"/>
      <c r="D152" s="572"/>
      <c r="E152" s="545"/>
      <c r="F152" s="573"/>
      <c r="G152" s="572"/>
      <c r="H152" s="545"/>
      <c r="I152" s="547"/>
      <c r="J152" s="547"/>
      <c r="K152" s="525"/>
      <c r="L152" s="525"/>
      <c r="M152" s="525"/>
      <c r="N152" s="525"/>
      <c r="O152" s="525"/>
      <c r="P152" s="525"/>
      <c r="Q152" s="525"/>
      <c r="R152" s="525"/>
      <c r="S152" s="525"/>
      <c r="T152" s="525"/>
      <c r="U152" s="525"/>
      <c r="V152" s="525"/>
      <c r="W152" s="525"/>
      <c r="X152" s="525"/>
      <c r="Y152" s="525"/>
      <c r="Z152" s="525"/>
      <c r="AA152" s="525"/>
      <c r="AB152" s="525"/>
      <c r="AC152" s="525"/>
      <c r="AD152" s="525"/>
    </row>
    <row r="153" ht="15.75" customHeight="1">
      <c r="A153" s="571"/>
      <c r="B153" s="525"/>
      <c r="C153" s="545"/>
      <c r="D153" s="572"/>
      <c r="E153" s="545"/>
      <c r="F153" s="573"/>
      <c r="G153" s="572"/>
      <c r="H153" s="545"/>
      <c r="I153" s="547"/>
      <c r="J153" s="547"/>
      <c r="K153" s="525"/>
      <c r="L153" s="525"/>
      <c r="M153" s="525"/>
      <c r="N153" s="525"/>
      <c r="O153" s="525"/>
      <c r="P153" s="525"/>
      <c r="Q153" s="525"/>
      <c r="R153" s="525"/>
      <c r="S153" s="525"/>
      <c r="T153" s="525"/>
      <c r="U153" s="525"/>
      <c r="V153" s="525"/>
      <c r="W153" s="525"/>
      <c r="X153" s="525"/>
      <c r="Y153" s="525"/>
      <c r="Z153" s="525"/>
      <c r="AA153" s="525"/>
      <c r="AB153" s="525"/>
      <c r="AC153" s="525"/>
      <c r="AD153" s="525"/>
    </row>
    <row r="154" ht="15.75" customHeight="1">
      <c r="A154" s="571"/>
      <c r="B154" s="525"/>
      <c r="C154" s="545"/>
      <c r="D154" s="572"/>
      <c r="E154" s="545"/>
      <c r="F154" s="573"/>
      <c r="G154" s="572"/>
      <c r="H154" s="545"/>
      <c r="I154" s="547"/>
      <c r="J154" s="547"/>
      <c r="K154" s="525"/>
      <c r="L154" s="525"/>
      <c r="M154" s="525"/>
      <c r="N154" s="525"/>
      <c r="O154" s="525"/>
      <c r="P154" s="525"/>
      <c r="Q154" s="525"/>
      <c r="R154" s="525"/>
      <c r="S154" s="525"/>
      <c r="T154" s="525"/>
      <c r="U154" s="525"/>
      <c r="V154" s="525"/>
      <c r="W154" s="525"/>
      <c r="X154" s="525"/>
      <c r="Y154" s="525"/>
      <c r="Z154" s="525"/>
      <c r="AA154" s="525"/>
      <c r="AB154" s="525"/>
      <c r="AC154" s="525"/>
      <c r="AD154" s="525"/>
    </row>
    <row r="155" ht="15.75" customHeight="1">
      <c r="A155" s="571"/>
      <c r="B155" s="525"/>
      <c r="C155" s="545"/>
      <c r="D155" s="572"/>
      <c r="E155" s="545"/>
      <c r="F155" s="573"/>
      <c r="G155" s="572"/>
      <c r="H155" s="545"/>
      <c r="I155" s="547"/>
      <c r="J155" s="547"/>
      <c r="K155" s="525"/>
      <c r="L155" s="525"/>
      <c r="M155" s="525"/>
      <c r="N155" s="525"/>
      <c r="O155" s="525"/>
      <c r="P155" s="525"/>
      <c r="Q155" s="525"/>
      <c r="R155" s="525"/>
      <c r="S155" s="525"/>
      <c r="T155" s="525"/>
      <c r="U155" s="525"/>
      <c r="V155" s="525"/>
      <c r="W155" s="525"/>
      <c r="X155" s="525"/>
      <c r="Y155" s="525"/>
      <c r="Z155" s="525"/>
      <c r="AA155" s="525"/>
      <c r="AB155" s="525"/>
      <c r="AC155" s="525"/>
      <c r="AD155" s="525"/>
    </row>
    <row r="156" ht="15.75" customHeight="1">
      <c r="A156" s="571"/>
      <c r="B156" s="525"/>
      <c r="C156" s="545"/>
      <c r="D156" s="572"/>
      <c r="E156" s="545"/>
      <c r="F156" s="573"/>
      <c r="G156" s="572"/>
      <c r="H156" s="545"/>
      <c r="I156" s="547"/>
      <c r="J156" s="547"/>
      <c r="K156" s="525"/>
      <c r="L156" s="525"/>
      <c r="M156" s="525"/>
      <c r="N156" s="525"/>
      <c r="O156" s="525"/>
      <c r="P156" s="525"/>
      <c r="Q156" s="525"/>
      <c r="R156" s="525"/>
      <c r="S156" s="525"/>
      <c r="T156" s="525"/>
      <c r="U156" s="525"/>
      <c r="V156" s="525"/>
      <c r="W156" s="525"/>
      <c r="X156" s="525"/>
      <c r="Y156" s="525"/>
      <c r="Z156" s="525"/>
      <c r="AA156" s="525"/>
      <c r="AB156" s="525"/>
      <c r="AC156" s="525"/>
      <c r="AD156" s="525"/>
    </row>
    <row r="157" ht="15.75" customHeight="1">
      <c r="A157" s="571"/>
      <c r="B157" s="525"/>
      <c r="C157" s="545"/>
      <c r="D157" s="572"/>
      <c r="E157" s="545"/>
      <c r="F157" s="573"/>
      <c r="G157" s="572"/>
      <c r="H157" s="545"/>
      <c r="I157" s="547"/>
      <c r="J157" s="547"/>
      <c r="K157" s="525"/>
      <c r="L157" s="525"/>
      <c r="M157" s="525"/>
      <c r="N157" s="525"/>
      <c r="O157" s="525"/>
      <c r="P157" s="525"/>
      <c r="Q157" s="525"/>
      <c r="R157" s="525"/>
      <c r="S157" s="525"/>
      <c r="T157" s="525"/>
      <c r="U157" s="525"/>
      <c r="V157" s="525"/>
      <c r="W157" s="525"/>
      <c r="X157" s="525"/>
      <c r="Y157" s="525"/>
      <c r="Z157" s="525"/>
      <c r="AA157" s="525"/>
      <c r="AB157" s="525"/>
      <c r="AC157" s="525"/>
      <c r="AD157" s="525"/>
    </row>
    <row r="158" ht="15.75" customHeight="1">
      <c r="A158" s="571"/>
      <c r="B158" s="525"/>
      <c r="C158" s="545"/>
      <c r="D158" s="572"/>
      <c r="E158" s="545"/>
      <c r="F158" s="573"/>
      <c r="G158" s="572"/>
      <c r="H158" s="545"/>
      <c r="I158" s="547"/>
      <c r="J158" s="547"/>
      <c r="K158" s="525"/>
      <c r="L158" s="525"/>
      <c r="M158" s="525"/>
      <c r="N158" s="525"/>
      <c r="O158" s="525"/>
      <c r="P158" s="525"/>
      <c r="Q158" s="525"/>
      <c r="R158" s="525"/>
      <c r="S158" s="525"/>
      <c r="T158" s="525"/>
      <c r="U158" s="525"/>
      <c r="V158" s="525"/>
      <c r="W158" s="525"/>
      <c r="X158" s="525"/>
      <c r="Y158" s="525"/>
      <c r="Z158" s="525"/>
      <c r="AA158" s="525"/>
      <c r="AB158" s="525"/>
      <c r="AC158" s="525"/>
      <c r="AD158" s="525"/>
    </row>
    <row r="159" ht="15.75" customHeight="1">
      <c r="A159" s="571"/>
      <c r="B159" s="525"/>
      <c r="C159" s="545"/>
      <c r="D159" s="572"/>
      <c r="E159" s="545"/>
      <c r="F159" s="573"/>
      <c r="G159" s="572"/>
      <c r="H159" s="545"/>
      <c r="I159" s="547"/>
      <c r="J159" s="547"/>
      <c r="K159" s="525"/>
      <c r="L159" s="525"/>
      <c r="M159" s="525"/>
      <c r="N159" s="525"/>
      <c r="O159" s="525"/>
      <c r="P159" s="525"/>
      <c r="Q159" s="525"/>
      <c r="R159" s="525"/>
      <c r="S159" s="525"/>
      <c r="T159" s="525"/>
      <c r="U159" s="525"/>
      <c r="V159" s="525"/>
      <c r="W159" s="525"/>
      <c r="X159" s="525"/>
      <c r="Y159" s="525"/>
      <c r="Z159" s="525"/>
      <c r="AA159" s="525"/>
      <c r="AB159" s="525"/>
      <c r="AC159" s="525"/>
      <c r="AD159" s="525"/>
    </row>
    <row r="160" ht="15.75" customHeight="1">
      <c r="A160" s="571"/>
      <c r="B160" s="525"/>
      <c r="C160" s="545"/>
      <c r="D160" s="572"/>
      <c r="E160" s="545"/>
      <c r="F160" s="573"/>
      <c r="G160" s="572"/>
      <c r="H160" s="545"/>
      <c r="I160" s="547"/>
      <c r="J160" s="547"/>
      <c r="K160" s="525"/>
      <c r="L160" s="525"/>
      <c r="M160" s="525"/>
      <c r="N160" s="525"/>
      <c r="O160" s="525"/>
      <c r="P160" s="525"/>
      <c r="Q160" s="525"/>
      <c r="R160" s="525"/>
      <c r="S160" s="525"/>
      <c r="T160" s="525"/>
      <c r="U160" s="525"/>
      <c r="V160" s="525"/>
      <c r="W160" s="525"/>
      <c r="X160" s="525"/>
      <c r="Y160" s="525"/>
      <c r="Z160" s="525"/>
      <c r="AA160" s="525"/>
      <c r="AB160" s="525"/>
      <c r="AC160" s="525"/>
      <c r="AD160" s="525"/>
    </row>
    <row r="161" ht="15.75" customHeight="1">
      <c r="A161" s="571"/>
      <c r="B161" s="525"/>
      <c r="C161" s="545"/>
      <c r="D161" s="572"/>
      <c r="E161" s="545"/>
      <c r="F161" s="573"/>
      <c r="G161" s="572"/>
      <c r="H161" s="545"/>
      <c r="I161" s="547"/>
      <c r="J161" s="547"/>
      <c r="K161" s="525"/>
      <c r="L161" s="525"/>
      <c r="M161" s="525"/>
      <c r="N161" s="525"/>
      <c r="O161" s="525"/>
      <c r="P161" s="525"/>
      <c r="Q161" s="525"/>
      <c r="R161" s="525"/>
      <c r="S161" s="525"/>
      <c r="T161" s="525"/>
      <c r="U161" s="525"/>
      <c r="V161" s="525"/>
      <c r="W161" s="525"/>
      <c r="X161" s="525"/>
      <c r="Y161" s="525"/>
      <c r="Z161" s="525"/>
      <c r="AA161" s="525"/>
      <c r="AB161" s="525"/>
      <c r="AC161" s="525"/>
      <c r="AD161" s="525"/>
    </row>
    <row r="162" ht="15.75" customHeight="1">
      <c r="A162" s="571"/>
      <c r="B162" s="525"/>
      <c r="C162" s="545"/>
      <c r="D162" s="572"/>
      <c r="E162" s="545"/>
      <c r="F162" s="573"/>
      <c r="G162" s="572"/>
      <c r="H162" s="545"/>
      <c r="I162" s="547"/>
      <c r="J162" s="547"/>
      <c r="K162" s="525"/>
      <c r="L162" s="525"/>
      <c r="M162" s="525"/>
      <c r="N162" s="525"/>
      <c r="O162" s="525"/>
      <c r="P162" s="525"/>
      <c r="Q162" s="525"/>
      <c r="R162" s="525"/>
      <c r="S162" s="525"/>
      <c r="T162" s="525"/>
      <c r="U162" s="525"/>
      <c r="V162" s="525"/>
      <c r="W162" s="525"/>
      <c r="X162" s="525"/>
      <c r="Y162" s="525"/>
      <c r="Z162" s="525"/>
      <c r="AA162" s="525"/>
      <c r="AB162" s="525"/>
      <c r="AC162" s="525"/>
      <c r="AD162" s="525"/>
    </row>
    <row r="163" ht="15.75" customHeight="1">
      <c r="A163" s="571"/>
      <c r="B163" s="525"/>
      <c r="C163" s="545"/>
      <c r="D163" s="572"/>
      <c r="E163" s="545"/>
      <c r="F163" s="573"/>
      <c r="G163" s="572"/>
      <c r="H163" s="545"/>
      <c r="I163" s="547"/>
      <c r="J163" s="547"/>
      <c r="K163" s="525"/>
      <c r="L163" s="525"/>
      <c r="M163" s="525"/>
      <c r="N163" s="525"/>
      <c r="O163" s="525"/>
      <c r="P163" s="525"/>
      <c r="Q163" s="525"/>
      <c r="R163" s="525"/>
      <c r="S163" s="525"/>
      <c r="T163" s="525"/>
      <c r="U163" s="525"/>
      <c r="V163" s="525"/>
      <c r="W163" s="525"/>
      <c r="X163" s="525"/>
      <c r="Y163" s="525"/>
      <c r="Z163" s="525"/>
      <c r="AA163" s="525"/>
      <c r="AB163" s="525"/>
      <c r="AC163" s="525"/>
      <c r="AD163" s="525"/>
    </row>
    <row r="164" ht="15.75" customHeight="1">
      <c r="A164" s="571"/>
      <c r="B164" s="525"/>
      <c r="C164" s="545"/>
      <c r="D164" s="572"/>
      <c r="E164" s="545"/>
      <c r="F164" s="573"/>
      <c r="G164" s="572"/>
      <c r="H164" s="545"/>
      <c r="I164" s="547"/>
      <c r="J164" s="547"/>
      <c r="K164" s="525"/>
      <c r="L164" s="525"/>
      <c r="M164" s="525"/>
      <c r="N164" s="525"/>
      <c r="O164" s="525"/>
      <c r="P164" s="525"/>
      <c r="Q164" s="525"/>
      <c r="R164" s="525"/>
      <c r="S164" s="525"/>
      <c r="T164" s="525"/>
      <c r="U164" s="525"/>
      <c r="V164" s="525"/>
      <c r="W164" s="525"/>
      <c r="X164" s="525"/>
      <c r="Y164" s="525"/>
      <c r="Z164" s="525"/>
      <c r="AA164" s="525"/>
      <c r="AB164" s="525"/>
      <c r="AC164" s="525"/>
      <c r="AD164" s="525"/>
    </row>
    <row r="165" ht="15.75" customHeight="1">
      <c r="A165" s="571"/>
      <c r="B165" s="525"/>
      <c r="C165" s="545"/>
      <c r="D165" s="572"/>
      <c r="E165" s="545"/>
      <c r="F165" s="573"/>
      <c r="G165" s="572"/>
      <c r="H165" s="545"/>
      <c r="I165" s="547"/>
      <c r="J165" s="547"/>
      <c r="K165" s="525"/>
      <c r="L165" s="525"/>
      <c r="M165" s="525"/>
      <c r="N165" s="525"/>
      <c r="O165" s="525"/>
      <c r="P165" s="525"/>
      <c r="Q165" s="525"/>
      <c r="R165" s="525"/>
      <c r="S165" s="525"/>
      <c r="T165" s="525"/>
      <c r="U165" s="525"/>
      <c r="V165" s="525"/>
      <c r="W165" s="525"/>
      <c r="X165" s="525"/>
      <c r="Y165" s="525"/>
      <c r="Z165" s="525"/>
      <c r="AA165" s="525"/>
      <c r="AB165" s="525"/>
      <c r="AC165" s="525"/>
      <c r="AD165" s="525"/>
    </row>
    <row r="166" ht="15.75" customHeight="1">
      <c r="A166" s="571"/>
      <c r="B166" s="525"/>
      <c r="C166" s="545"/>
      <c r="D166" s="572"/>
      <c r="E166" s="545"/>
      <c r="F166" s="573"/>
      <c r="G166" s="572"/>
      <c r="H166" s="545"/>
      <c r="I166" s="547"/>
      <c r="J166" s="547"/>
      <c r="K166" s="525"/>
      <c r="L166" s="525"/>
      <c r="M166" s="525"/>
      <c r="N166" s="525"/>
      <c r="O166" s="525"/>
      <c r="P166" s="525"/>
      <c r="Q166" s="525"/>
      <c r="R166" s="525"/>
      <c r="S166" s="525"/>
      <c r="T166" s="525"/>
      <c r="U166" s="525"/>
      <c r="V166" s="525"/>
      <c r="W166" s="525"/>
      <c r="X166" s="525"/>
      <c r="Y166" s="525"/>
      <c r="Z166" s="525"/>
      <c r="AA166" s="525"/>
      <c r="AB166" s="525"/>
      <c r="AC166" s="525"/>
      <c r="AD166" s="525"/>
    </row>
    <row r="167" ht="15.75" customHeight="1">
      <c r="A167" s="571"/>
      <c r="B167" s="525"/>
      <c r="C167" s="545"/>
      <c r="D167" s="572"/>
      <c r="E167" s="545"/>
      <c r="F167" s="573"/>
      <c r="G167" s="572"/>
      <c r="H167" s="545"/>
      <c r="I167" s="547"/>
      <c r="J167" s="547"/>
      <c r="K167" s="525"/>
      <c r="L167" s="525"/>
      <c r="M167" s="525"/>
      <c r="N167" s="525"/>
      <c r="O167" s="525"/>
      <c r="P167" s="525"/>
      <c r="Q167" s="525"/>
      <c r="R167" s="525"/>
      <c r="S167" s="525"/>
      <c r="T167" s="525"/>
      <c r="U167" s="525"/>
      <c r="V167" s="525"/>
      <c r="W167" s="525"/>
      <c r="X167" s="525"/>
      <c r="Y167" s="525"/>
      <c r="Z167" s="525"/>
      <c r="AA167" s="525"/>
      <c r="AB167" s="525"/>
      <c r="AC167" s="525"/>
      <c r="AD167" s="525"/>
    </row>
    <row r="168" ht="15.75" customHeight="1">
      <c r="A168" s="571"/>
      <c r="B168" s="525"/>
      <c r="C168" s="545"/>
      <c r="D168" s="572"/>
      <c r="E168" s="545"/>
      <c r="F168" s="573"/>
      <c r="G168" s="572"/>
      <c r="H168" s="545"/>
      <c r="I168" s="547"/>
      <c r="J168" s="547"/>
      <c r="K168" s="525"/>
      <c r="L168" s="525"/>
      <c r="M168" s="525"/>
      <c r="N168" s="525"/>
      <c r="O168" s="525"/>
      <c r="P168" s="525"/>
      <c r="Q168" s="525"/>
      <c r="R168" s="525"/>
      <c r="S168" s="525"/>
      <c r="T168" s="525"/>
      <c r="U168" s="525"/>
      <c r="V168" s="525"/>
      <c r="W168" s="525"/>
      <c r="X168" s="525"/>
      <c r="Y168" s="525"/>
      <c r="Z168" s="525"/>
      <c r="AA168" s="525"/>
      <c r="AB168" s="525"/>
      <c r="AC168" s="525"/>
      <c r="AD168" s="525"/>
    </row>
    <row r="169" ht="15.75" customHeight="1">
      <c r="A169" s="571"/>
      <c r="B169" s="525"/>
      <c r="C169" s="545"/>
      <c r="D169" s="572"/>
      <c r="E169" s="545"/>
      <c r="F169" s="573"/>
      <c r="G169" s="572"/>
      <c r="H169" s="545"/>
      <c r="I169" s="547"/>
      <c r="J169" s="547"/>
      <c r="K169" s="525"/>
      <c r="L169" s="525"/>
      <c r="M169" s="525"/>
      <c r="N169" s="525"/>
      <c r="O169" s="525"/>
      <c r="P169" s="525"/>
      <c r="Q169" s="525"/>
      <c r="R169" s="525"/>
      <c r="S169" s="525"/>
      <c r="T169" s="525"/>
      <c r="U169" s="525"/>
      <c r="V169" s="525"/>
      <c r="W169" s="525"/>
      <c r="X169" s="525"/>
      <c r="Y169" s="525"/>
      <c r="Z169" s="525"/>
      <c r="AA169" s="525"/>
      <c r="AB169" s="525"/>
      <c r="AC169" s="525"/>
      <c r="AD169" s="525"/>
    </row>
    <row r="170" ht="15.75" customHeight="1">
      <c r="A170" s="571"/>
      <c r="B170" s="525"/>
      <c r="C170" s="545"/>
      <c r="D170" s="572"/>
      <c r="E170" s="545"/>
      <c r="F170" s="573"/>
      <c r="G170" s="572"/>
      <c r="H170" s="545"/>
      <c r="I170" s="547"/>
      <c r="J170" s="547"/>
      <c r="K170" s="525"/>
      <c r="L170" s="525"/>
      <c r="M170" s="525"/>
      <c r="N170" s="525"/>
      <c r="O170" s="525"/>
      <c r="P170" s="525"/>
      <c r="Q170" s="525"/>
      <c r="R170" s="525"/>
      <c r="S170" s="525"/>
      <c r="T170" s="525"/>
      <c r="U170" s="525"/>
      <c r="V170" s="525"/>
      <c r="W170" s="525"/>
      <c r="X170" s="525"/>
      <c r="Y170" s="525"/>
      <c r="Z170" s="525"/>
      <c r="AA170" s="525"/>
      <c r="AB170" s="525"/>
      <c r="AC170" s="525"/>
      <c r="AD170" s="525"/>
    </row>
    <row r="171" ht="15.75" customHeight="1">
      <c r="A171" s="571"/>
      <c r="B171" s="525"/>
      <c r="C171" s="545"/>
      <c r="D171" s="572"/>
      <c r="E171" s="545"/>
      <c r="F171" s="573"/>
      <c r="G171" s="572"/>
      <c r="H171" s="545"/>
      <c r="I171" s="547"/>
      <c r="J171" s="547"/>
      <c r="K171" s="525"/>
      <c r="L171" s="525"/>
      <c r="M171" s="525"/>
      <c r="N171" s="525"/>
      <c r="O171" s="525"/>
      <c r="P171" s="525"/>
      <c r="Q171" s="525"/>
      <c r="R171" s="525"/>
      <c r="S171" s="525"/>
      <c r="T171" s="525"/>
      <c r="U171" s="525"/>
      <c r="V171" s="525"/>
      <c r="W171" s="525"/>
      <c r="X171" s="525"/>
      <c r="Y171" s="525"/>
      <c r="Z171" s="525"/>
      <c r="AA171" s="525"/>
      <c r="AB171" s="525"/>
      <c r="AC171" s="525"/>
      <c r="AD171" s="525"/>
    </row>
    <row r="172" ht="15.75" customHeight="1">
      <c r="A172" s="571"/>
      <c r="B172" s="525"/>
      <c r="C172" s="545"/>
      <c r="D172" s="572"/>
      <c r="E172" s="545"/>
      <c r="F172" s="573"/>
      <c r="G172" s="572"/>
      <c r="H172" s="545"/>
      <c r="I172" s="547"/>
      <c r="J172" s="547"/>
      <c r="K172" s="525"/>
      <c r="L172" s="525"/>
      <c r="M172" s="525"/>
      <c r="N172" s="525"/>
      <c r="O172" s="525"/>
      <c r="P172" s="525"/>
      <c r="Q172" s="525"/>
      <c r="R172" s="525"/>
      <c r="S172" s="525"/>
      <c r="T172" s="525"/>
      <c r="U172" s="525"/>
      <c r="V172" s="525"/>
      <c r="W172" s="525"/>
      <c r="X172" s="525"/>
      <c r="Y172" s="525"/>
      <c r="Z172" s="525"/>
      <c r="AA172" s="525"/>
      <c r="AB172" s="525"/>
      <c r="AC172" s="525"/>
      <c r="AD172" s="525"/>
    </row>
    <row r="173" ht="15.75" customHeight="1">
      <c r="A173" s="571"/>
      <c r="B173" s="525"/>
      <c r="C173" s="545"/>
      <c r="D173" s="572"/>
      <c r="E173" s="545"/>
      <c r="F173" s="573"/>
      <c r="G173" s="572"/>
      <c r="H173" s="545"/>
      <c r="I173" s="547"/>
      <c r="J173" s="547"/>
      <c r="K173" s="525"/>
      <c r="L173" s="525"/>
      <c r="M173" s="525"/>
      <c r="N173" s="525"/>
      <c r="O173" s="525"/>
      <c r="P173" s="525"/>
      <c r="Q173" s="525"/>
      <c r="R173" s="525"/>
      <c r="S173" s="525"/>
      <c r="T173" s="525"/>
      <c r="U173" s="525"/>
      <c r="V173" s="525"/>
      <c r="W173" s="525"/>
      <c r="X173" s="525"/>
      <c r="Y173" s="525"/>
      <c r="Z173" s="525"/>
      <c r="AA173" s="525"/>
      <c r="AB173" s="525"/>
      <c r="AC173" s="525"/>
      <c r="AD173" s="525"/>
    </row>
    <row r="174" ht="15.75" customHeight="1">
      <c r="A174" s="571"/>
      <c r="B174" s="525"/>
      <c r="C174" s="545"/>
      <c r="D174" s="572"/>
      <c r="E174" s="545"/>
      <c r="F174" s="573"/>
      <c r="G174" s="572"/>
      <c r="H174" s="545"/>
      <c r="I174" s="547"/>
      <c r="J174" s="547"/>
      <c r="K174" s="525"/>
      <c r="L174" s="525"/>
      <c r="M174" s="525"/>
      <c r="N174" s="525"/>
      <c r="O174" s="525"/>
      <c r="P174" s="525"/>
      <c r="Q174" s="525"/>
      <c r="R174" s="525"/>
      <c r="S174" s="525"/>
      <c r="T174" s="525"/>
      <c r="U174" s="525"/>
      <c r="V174" s="525"/>
      <c r="W174" s="525"/>
      <c r="X174" s="525"/>
      <c r="Y174" s="525"/>
      <c r="Z174" s="525"/>
      <c r="AA174" s="525"/>
      <c r="AB174" s="525"/>
      <c r="AC174" s="525"/>
      <c r="AD174" s="525"/>
    </row>
    <row r="175" ht="15.75" customHeight="1">
      <c r="A175" s="571"/>
      <c r="B175" s="525"/>
      <c r="C175" s="545"/>
      <c r="D175" s="572"/>
      <c r="E175" s="545"/>
      <c r="F175" s="573"/>
      <c r="G175" s="572"/>
      <c r="H175" s="545"/>
      <c r="I175" s="547"/>
      <c r="J175" s="547"/>
      <c r="K175" s="525"/>
      <c r="L175" s="525"/>
      <c r="M175" s="525"/>
      <c r="N175" s="525"/>
      <c r="O175" s="525"/>
      <c r="P175" s="525"/>
      <c r="Q175" s="525"/>
      <c r="R175" s="525"/>
      <c r="S175" s="525"/>
      <c r="T175" s="525"/>
      <c r="U175" s="525"/>
      <c r="V175" s="525"/>
      <c r="W175" s="525"/>
      <c r="X175" s="525"/>
      <c r="Y175" s="525"/>
      <c r="Z175" s="525"/>
      <c r="AA175" s="525"/>
      <c r="AB175" s="525"/>
      <c r="AC175" s="525"/>
      <c r="AD175" s="525"/>
    </row>
    <row r="176" ht="15.75" customHeight="1">
      <c r="A176" s="571"/>
      <c r="B176" s="525"/>
      <c r="C176" s="545"/>
      <c r="D176" s="572"/>
      <c r="E176" s="545"/>
      <c r="F176" s="573"/>
      <c r="G176" s="572"/>
      <c r="H176" s="545"/>
      <c r="I176" s="547"/>
      <c r="J176" s="547"/>
      <c r="K176" s="525"/>
      <c r="L176" s="525"/>
      <c r="M176" s="525"/>
      <c r="N176" s="525"/>
      <c r="O176" s="525"/>
      <c r="P176" s="525"/>
      <c r="Q176" s="525"/>
      <c r="R176" s="525"/>
      <c r="S176" s="525"/>
      <c r="T176" s="525"/>
      <c r="U176" s="525"/>
      <c r="V176" s="525"/>
      <c r="W176" s="525"/>
      <c r="X176" s="525"/>
      <c r="Y176" s="525"/>
      <c r="Z176" s="525"/>
      <c r="AA176" s="525"/>
      <c r="AB176" s="525"/>
      <c r="AC176" s="525"/>
      <c r="AD176" s="525"/>
    </row>
    <row r="177" ht="15.75" customHeight="1">
      <c r="A177" s="571"/>
      <c r="B177" s="525"/>
      <c r="C177" s="545"/>
      <c r="D177" s="572"/>
      <c r="E177" s="545"/>
      <c r="F177" s="573"/>
      <c r="G177" s="572"/>
      <c r="H177" s="545"/>
      <c r="I177" s="547"/>
      <c r="J177" s="547"/>
      <c r="K177" s="525"/>
      <c r="L177" s="525"/>
      <c r="M177" s="525"/>
      <c r="N177" s="525"/>
      <c r="O177" s="525"/>
      <c r="P177" s="525"/>
      <c r="Q177" s="525"/>
      <c r="R177" s="525"/>
      <c r="S177" s="525"/>
      <c r="T177" s="525"/>
      <c r="U177" s="525"/>
      <c r="V177" s="525"/>
      <c r="W177" s="525"/>
      <c r="X177" s="525"/>
      <c r="Y177" s="525"/>
      <c r="Z177" s="525"/>
      <c r="AA177" s="525"/>
      <c r="AB177" s="525"/>
      <c r="AC177" s="525"/>
      <c r="AD177" s="525"/>
    </row>
    <row r="178" ht="15.75" customHeight="1">
      <c r="A178" s="571"/>
      <c r="B178" s="525"/>
      <c r="C178" s="545"/>
      <c r="D178" s="572"/>
      <c r="E178" s="545"/>
      <c r="F178" s="573"/>
      <c r="G178" s="572"/>
      <c r="H178" s="545"/>
      <c r="I178" s="547"/>
      <c r="J178" s="547"/>
      <c r="K178" s="525"/>
      <c r="L178" s="525"/>
      <c r="M178" s="525"/>
      <c r="N178" s="525"/>
      <c r="O178" s="525"/>
      <c r="P178" s="525"/>
      <c r="Q178" s="525"/>
      <c r="R178" s="525"/>
      <c r="S178" s="525"/>
      <c r="T178" s="525"/>
      <c r="U178" s="525"/>
      <c r="V178" s="525"/>
      <c r="W178" s="525"/>
      <c r="X178" s="525"/>
      <c r="Y178" s="525"/>
      <c r="Z178" s="525"/>
      <c r="AA178" s="525"/>
      <c r="AB178" s="525"/>
      <c r="AC178" s="525"/>
      <c r="AD178" s="525"/>
    </row>
    <row r="179" ht="15.75" customHeight="1">
      <c r="A179" s="571"/>
      <c r="B179" s="525"/>
      <c r="C179" s="545"/>
      <c r="D179" s="572"/>
      <c r="E179" s="545"/>
      <c r="F179" s="573"/>
      <c r="G179" s="572"/>
      <c r="H179" s="545"/>
      <c r="I179" s="547"/>
      <c r="J179" s="547"/>
      <c r="K179" s="525"/>
      <c r="L179" s="525"/>
      <c r="M179" s="525"/>
      <c r="N179" s="525"/>
      <c r="O179" s="525"/>
      <c r="P179" s="525"/>
      <c r="Q179" s="525"/>
      <c r="R179" s="525"/>
      <c r="S179" s="525"/>
      <c r="T179" s="525"/>
      <c r="U179" s="525"/>
      <c r="V179" s="525"/>
      <c r="W179" s="525"/>
      <c r="X179" s="525"/>
      <c r="Y179" s="525"/>
      <c r="Z179" s="525"/>
      <c r="AA179" s="525"/>
      <c r="AB179" s="525"/>
      <c r="AC179" s="525"/>
      <c r="AD179" s="525"/>
    </row>
    <row r="180" ht="15.75" customHeight="1">
      <c r="A180" s="571"/>
      <c r="B180" s="525"/>
      <c r="C180" s="545"/>
      <c r="D180" s="572"/>
      <c r="E180" s="545"/>
      <c r="F180" s="573"/>
      <c r="G180" s="572"/>
      <c r="H180" s="545"/>
      <c r="I180" s="547"/>
      <c r="J180" s="547"/>
      <c r="K180" s="525"/>
      <c r="L180" s="525"/>
      <c r="M180" s="525"/>
      <c r="N180" s="525"/>
      <c r="O180" s="525"/>
      <c r="P180" s="525"/>
      <c r="Q180" s="525"/>
      <c r="R180" s="525"/>
      <c r="S180" s="525"/>
      <c r="T180" s="525"/>
      <c r="U180" s="525"/>
      <c r="V180" s="525"/>
      <c r="W180" s="525"/>
      <c r="X180" s="525"/>
      <c r="Y180" s="525"/>
      <c r="Z180" s="525"/>
      <c r="AA180" s="525"/>
      <c r="AB180" s="525"/>
      <c r="AC180" s="525"/>
      <c r="AD180" s="525"/>
    </row>
    <row r="181" ht="15.75" customHeight="1">
      <c r="A181" s="571"/>
      <c r="B181" s="525"/>
      <c r="C181" s="545"/>
      <c r="D181" s="572"/>
      <c r="E181" s="545"/>
      <c r="F181" s="573"/>
      <c r="G181" s="572"/>
      <c r="H181" s="545"/>
      <c r="I181" s="547"/>
      <c r="J181" s="547"/>
      <c r="K181" s="525"/>
      <c r="L181" s="525"/>
      <c r="M181" s="525"/>
      <c r="N181" s="525"/>
      <c r="O181" s="525"/>
      <c r="P181" s="525"/>
      <c r="Q181" s="525"/>
      <c r="R181" s="525"/>
      <c r="S181" s="525"/>
      <c r="T181" s="525"/>
      <c r="U181" s="525"/>
      <c r="V181" s="525"/>
      <c r="W181" s="525"/>
      <c r="X181" s="525"/>
      <c r="Y181" s="525"/>
      <c r="Z181" s="525"/>
      <c r="AA181" s="525"/>
      <c r="AB181" s="525"/>
      <c r="AC181" s="525"/>
      <c r="AD181" s="525"/>
    </row>
    <row r="182" ht="15.75" customHeight="1">
      <c r="A182" s="571"/>
      <c r="B182" s="525"/>
      <c r="C182" s="545"/>
      <c r="D182" s="572"/>
      <c r="E182" s="545"/>
      <c r="F182" s="573"/>
      <c r="G182" s="572"/>
      <c r="H182" s="545"/>
      <c r="I182" s="547"/>
      <c r="J182" s="547"/>
      <c r="K182" s="525"/>
      <c r="L182" s="525"/>
      <c r="M182" s="525"/>
      <c r="N182" s="525"/>
      <c r="O182" s="525"/>
      <c r="P182" s="525"/>
      <c r="Q182" s="525"/>
      <c r="R182" s="525"/>
      <c r="S182" s="525"/>
      <c r="T182" s="525"/>
      <c r="U182" s="525"/>
      <c r="V182" s="525"/>
      <c r="W182" s="525"/>
      <c r="X182" s="525"/>
      <c r="Y182" s="525"/>
      <c r="Z182" s="525"/>
      <c r="AA182" s="525"/>
      <c r="AB182" s="525"/>
      <c r="AC182" s="525"/>
      <c r="AD182" s="525"/>
    </row>
    <row r="183" ht="15.75" customHeight="1">
      <c r="A183" s="571"/>
      <c r="B183" s="525"/>
      <c r="C183" s="545"/>
      <c r="D183" s="572"/>
      <c r="E183" s="545"/>
      <c r="F183" s="573"/>
      <c r="G183" s="572"/>
      <c r="H183" s="545"/>
      <c r="I183" s="547"/>
      <c r="J183" s="547"/>
      <c r="K183" s="525"/>
      <c r="L183" s="525"/>
      <c r="M183" s="525"/>
      <c r="N183" s="525"/>
      <c r="O183" s="525"/>
      <c r="P183" s="525"/>
      <c r="Q183" s="525"/>
      <c r="R183" s="525"/>
      <c r="S183" s="525"/>
      <c r="T183" s="525"/>
      <c r="U183" s="525"/>
      <c r="V183" s="525"/>
      <c r="W183" s="525"/>
      <c r="X183" s="525"/>
      <c r="Y183" s="525"/>
      <c r="Z183" s="525"/>
      <c r="AA183" s="525"/>
      <c r="AB183" s="525"/>
      <c r="AC183" s="525"/>
      <c r="AD183" s="525"/>
    </row>
    <row r="184" ht="15.75" customHeight="1">
      <c r="A184" s="571"/>
      <c r="B184" s="525"/>
      <c r="C184" s="545"/>
      <c r="D184" s="572"/>
      <c r="E184" s="545"/>
      <c r="F184" s="573"/>
      <c r="G184" s="572"/>
      <c r="H184" s="545"/>
      <c r="I184" s="547"/>
      <c r="J184" s="547"/>
      <c r="K184" s="525"/>
      <c r="L184" s="525"/>
      <c r="M184" s="525"/>
      <c r="N184" s="525"/>
      <c r="O184" s="525"/>
      <c r="P184" s="525"/>
      <c r="Q184" s="525"/>
      <c r="R184" s="525"/>
      <c r="S184" s="525"/>
      <c r="T184" s="525"/>
      <c r="U184" s="525"/>
      <c r="V184" s="525"/>
      <c r="W184" s="525"/>
      <c r="X184" s="525"/>
      <c r="Y184" s="525"/>
      <c r="Z184" s="525"/>
      <c r="AA184" s="525"/>
      <c r="AB184" s="525"/>
      <c r="AC184" s="525"/>
      <c r="AD184" s="525"/>
    </row>
    <row r="185" ht="15.75" customHeight="1">
      <c r="A185" s="571"/>
      <c r="B185" s="525"/>
      <c r="C185" s="545"/>
      <c r="D185" s="572"/>
      <c r="E185" s="545"/>
      <c r="F185" s="573"/>
      <c r="G185" s="572"/>
      <c r="H185" s="545"/>
      <c r="I185" s="547"/>
      <c r="J185" s="547"/>
      <c r="K185" s="525"/>
      <c r="L185" s="525"/>
      <c r="M185" s="525"/>
      <c r="N185" s="525"/>
      <c r="O185" s="525"/>
      <c r="P185" s="525"/>
      <c r="Q185" s="525"/>
      <c r="R185" s="525"/>
      <c r="S185" s="525"/>
      <c r="T185" s="525"/>
      <c r="U185" s="525"/>
      <c r="V185" s="525"/>
      <c r="W185" s="525"/>
      <c r="X185" s="525"/>
      <c r="Y185" s="525"/>
      <c r="Z185" s="525"/>
      <c r="AA185" s="525"/>
      <c r="AB185" s="525"/>
      <c r="AC185" s="525"/>
      <c r="AD185" s="525"/>
    </row>
    <row r="186" ht="15.75" customHeight="1">
      <c r="A186" s="571"/>
      <c r="B186" s="525"/>
      <c r="C186" s="545"/>
      <c r="D186" s="572"/>
      <c r="E186" s="545"/>
      <c r="F186" s="573"/>
      <c r="G186" s="572"/>
      <c r="H186" s="545"/>
      <c r="I186" s="547"/>
      <c r="J186" s="547"/>
      <c r="K186" s="525"/>
      <c r="L186" s="525"/>
      <c r="M186" s="525"/>
      <c r="N186" s="525"/>
      <c r="O186" s="525"/>
      <c r="P186" s="525"/>
      <c r="Q186" s="525"/>
      <c r="R186" s="525"/>
      <c r="S186" s="525"/>
      <c r="T186" s="525"/>
      <c r="U186" s="525"/>
      <c r="V186" s="525"/>
      <c r="W186" s="525"/>
      <c r="X186" s="525"/>
      <c r="Y186" s="525"/>
      <c r="Z186" s="525"/>
      <c r="AA186" s="525"/>
      <c r="AB186" s="525"/>
      <c r="AC186" s="525"/>
      <c r="AD186" s="525"/>
    </row>
    <row r="187" ht="15.75" customHeight="1">
      <c r="A187" s="571"/>
      <c r="B187" s="525"/>
      <c r="C187" s="545"/>
      <c r="D187" s="572"/>
      <c r="E187" s="545"/>
      <c r="F187" s="573"/>
      <c r="G187" s="572"/>
      <c r="H187" s="545"/>
      <c r="I187" s="547"/>
      <c r="J187" s="547"/>
      <c r="K187" s="525"/>
      <c r="L187" s="525"/>
      <c r="M187" s="525"/>
      <c r="N187" s="525"/>
      <c r="O187" s="525"/>
      <c r="P187" s="525"/>
      <c r="Q187" s="525"/>
      <c r="R187" s="525"/>
      <c r="S187" s="525"/>
      <c r="T187" s="525"/>
      <c r="U187" s="525"/>
      <c r="V187" s="525"/>
      <c r="W187" s="525"/>
      <c r="X187" s="525"/>
      <c r="Y187" s="525"/>
      <c r="Z187" s="525"/>
      <c r="AA187" s="525"/>
      <c r="AB187" s="525"/>
      <c r="AC187" s="525"/>
      <c r="AD187" s="525"/>
    </row>
    <row r="188" ht="15.75" customHeight="1">
      <c r="A188" s="571"/>
      <c r="B188" s="525"/>
      <c r="C188" s="545"/>
      <c r="D188" s="572"/>
      <c r="E188" s="545"/>
      <c r="F188" s="573"/>
      <c r="G188" s="572"/>
      <c r="H188" s="545"/>
      <c r="I188" s="547"/>
      <c r="J188" s="547"/>
      <c r="K188" s="525"/>
      <c r="L188" s="525"/>
      <c r="M188" s="525"/>
      <c r="N188" s="525"/>
      <c r="O188" s="525"/>
      <c r="P188" s="525"/>
      <c r="Q188" s="525"/>
      <c r="R188" s="525"/>
      <c r="S188" s="525"/>
      <c r="T188" s="525"/>
      <c r="U188" s="525"/>
      <c r="V188" s="525"/>
      <c r="W188" s="525"/>
      <c r="X188" s="525"/>
      <c r="Y188" s="525"/>
      <c r="Z188" s="525"/>
      <c r="AA188" s="525"/>
      <c r="AB188" s="525"/>
      <c r="AC188" s="525"/>
      <c r="AD188" s="525"/>
    </row>
    <row r="189" ht="15.75" customHeight="1">
      <c r="A189" s="571"/>
      <c r="B189" s="525"/>
      <c r="C189" s="545"/>
      <c r="D189" s="572"/>
      <c r="E189" s="545"/>
      <c r="F189" s="573"/>
      <c r="G189" s="572"/>
      <c r="H189" s="545"/>
      <c r="I189" s="547"/>
      <c r="J189" s="547"/>
      <c r="K189" s="525"/>
      <c r="L189" s="525"/>
      <c r="M189" s="525"/>
      <c r="N189" s="525"/>
      <c r="O189" s="525"/>
      <c r="P189" s="525"/>
      <c r="Q189" s="525"/>
      <c r="R189" s="525"/>
      <c r="S189" s="525"/>
      <c r="T189" s="525"/>
      <c r="U189" s="525"/>
      <c r="V189" s="525"/>
      <c r="W189" s="525"/>
      <c r="X189" s="525"/>
      <c r="Y189" s="525"/>
      <c r="Z189" s="525"/>
      <c r="AA189" s="525"/>
      <c r="AB189" s="525"/>
      <c r="AC189" s="525"/>
      <c r="AD189" s="525"/>
    </row>
    <row r="190" ht="15.75" customHeight="1">
      <c r="A190" s="571"/>
      <c r="B190" s="525"/>
      <c r="C190" s="545"/>
      <c r="D190" s="572"/>
      <c r="E190" s="545"/>
      <c r="F190" s="573"/>
      <c r="G190" s="572"/>
      <c r="H190" s="545"/>
      <c r="I190" s="547"/>
      <c r="J190" s="547"/>
      <c r="K190" s="525"/>
      <c r="L190" s="525"/>
      <c r="M190" s="525"/>
      <c r="N190" s="525"/>
      <c r="O190" s="525"/>
      <c r="P190" s="525"/>
      <c r="Q190" s="525"/>
      <c r="R190" s="525"/>
      <c r="S190" s="525"/>
      <c r="T190" s="525"/>
      <c r="U190" s="525"/>
      <c r="V190" s="525"/>
      <c r="W190" s="525"/>
      <c r="X190" s="525"/>
      <c r="Y190" s="525"/>
      <c r="Z190" s="525"/>
      <c r="AA190" s="525"/>
      <c r="AB190" s="525"/>
      <c r="AC190" s="525"/>
      <c r="AD190" s="525"/>
    </row>
    <row r="191" ht="15.75" customHeight="1">
      <c r="A191" s="571"/>
      <c r="B191" s="525"/>
      <c r="C191" s="545"/>
      <c r="D191" s="572"/>
      <c r="E191" s="545"/>
      <c r="F191" s="573"/>
      <c r="G191" s="572"/>
      <c r="H191" s="545"/>
      <c r="I191" s="547"/>
      <c r="J191" s="547"/>
      <c r="K191" s="525"/>
      <c r="L191" s="525"/>
      <c r="M191" s="525"/>
      <c r="N191" s="525"/>
      <c r="O191" s="525"/>
      <c r="P191" s="525"/>
      <c r="Q191" s="525"/>
      <c r="R191" s="525"/>
      <c r="S191" s="525"/>
      <c r="T191" s="525"/>
      <c r="U191" s="525"/>
      <c r="V191" s="525"/>
      <c r="W191" s="525"/>
      <c r="X191" s="525"/>
      <c r="Y191" s="525"/>
      <c r="Z191" s="525"/>
      <c r="AA191" s="525"/>
      <c r="AB191" s="525"/>
      <c r="AC191" s="525"/>
      <c r="AD191" s="525"/>
    </row>
    <row r="192" ht="15.75" customHeight="1">
      <c r="A192" s="571"/>
      <c r="B192" s="525"/>
      <c r="C192" s="545"/>
      <c r="D192" s="572"/>
      <c r="E192" s="545"/>
      <c r="F192" s="573"/>
      <c r="G192" s="572"/>
      <c r="H192" s="545"/>
      <c r="I192" s="547"/>
      <c r="J192" s="547"/>
      <c r="K192" s="525"/>
      <c r="L192" s="525"/>
      <c r="M192" s="525"/>
      <c r="N192" s="525"/>
      <c r="O192" s="525"/>
      <c r="P192" s="525"/>
      <c r="Q192" s="525"/>
      <c r="R192" s="525"/>
      <c r="S192" s="525"/>
      <c r="T192" s="525"/>
      <c r="U192" s="525"/>
      <c r="V192" s="525"/>
      <c r="W192" s="525"/>
      <c r="X192" s="525"/>
      <c r="Y192" s="525"/>
      <c r="Z192" s="525"/>
      <c r="AA192" s="525"/>
      <c r="AB192" s="525"/>
      <c r="AC192" s="525"/>
      <c r="AD192" s="525"/>
    </row>
    <row r="193" ht="15.75" customHeight="1">
      <c r="A193" s="571"/>
      <c r="B193" s="525"/>
      <c r="C193" s="545"/>
      <c r="D193" s="572"/>
      <c r="E193" s="545"/>
      <c r="F193" s="573"/>
      <c r="G193" s="572"/>
      <c r="H193" s="545"/>
      <c r="I193" s="547"/>
      <c r="J193" s="547"/>
      <c r="K193" s="525"/>
      <c r="L193" s="525"/>
      <c r="M193" s="525"/>
      <c r="N193" s="525"/>
      <c r="O193" s="525"/>
      <c r="P193" s="525"/>
      <c r="Q193" s="525"/>
      <c r="R193" s="525"/>
      <c r="S193" s="525"/>
      <c r="T193" s="525"/>
      <c r="U193" s="525"/>
      <c r="V193" s="525"/>
      <c r="W193" s="525"/>
      <c r="X193" s="525"/>
      <c r="Y193" s="525"/>
      <c r="Z193" s="525"/>
      <c r="AA193" s="525"/>
      <c r="AB193" s="525"/>
      <c r="AC193" s="525"/>
      <c r="AD193" s="525"/>
    </row>
    <row r="194" ht="15.75" customHeight="1">
      <c r="A194" s="571"/>
      <c r="B194" s="525"/>
      <c r="C194" s="545"/>
      <c r="D194" s="572"/>
      <c r="E194" s="545"/>
      <c r="F194" s="573"/>
      <c r="G194" s="572"/>
      <c r="H194" s="545"/>
      <c r="I194" s="547"/>
      <c r="J194" s="547"/>
      <c r="K194" s="525"/>
      <c r="L194" s="525"/>
      <c r="M194" s="525"/>
      <c r="N194" s="525"/>
      <c r="O194" s="525"/>
      <c r="P194" s="525"/>
      <c r="Q194" s="525"/>
      <c r="R194" s="525"/>
      <c r="S194" s="525"/>
      <c r="T194" s="525"/>
      <c r="U194" s="525"/>
      <c r="V194" s="525"/>
      <c r="W194" s="525"/>
      <c r="X194" s="525"/>
      <c r="Y194" s="525"/>
      <c r="Z194" s="525"/>
      <c r="AA194" s="525"/>
      <c r="AB194" s="525"/>
      <c r="AC194" s="525"/>
      <c r="AD194" s="525"/>
    </row>
    <row r="195" ht="15.75" customHeight="1">
      <c r="A195" s="571"/>
      <c r="B195" s="525"/>
      <c r="C195" s="545"/>
      <c r="D195" s="572"/>
      <c r="E195" s="545"/>
      <c r="F195" s="573"/>
      <c r="G195" s="572"/>
      <c r="H195" s="545"/>
      <c r="I195" s="547"/>
      <c r="J195" s="547"/>
      <c r="K195" s="525"/>
      <c r="L195" s="525"/>
      <c r="M195" s="525"/>
      <c r="N195" s="525"/>
      <c r="O195" s="525"/>
      <c r="P195" s="525"/>
      <c r="Q195" s="525"/>
      <c r="R195" s="525"/>
      <c r="S195" s="525"/>
      <c r="T195" s="525"/>
      <c r="U195" s="525"/>
      <c r="V195" s="525"/>
      <c r="W195" s="525"/>
      <c r="X195" s="525"/>
      <c r="Y195" s="525"/>
      <c r="Z195" s="525"/>
      <c r="AA195" s="525"/>
      <c r="AB195" s="525"/>
      <c r="AC195" s="525"/>
      <c r="AD195" s="525"/>
    </row>
    <row r="196" ht="15.75" customHeight="1">
      <c r="A196" s="571"/>
      <c r="B196" s="525"/>
      <c r="C196" s="545"/>
      <c r="D196" s="572"/>
      <c r="E196" s="545"/>
      <c r="F196" s="573"/>
      <c r="G196" s="572"/>
      <c r="H196" s="545"/>
      <c r="I196" s="547"/>
      <c r="J196" s="547"/>
      <c r="K196" s="525"/>
      <c r="L196" s="525"/>
      <c r="M196" s="525"/>
      <c r="N196" s="525"/>
      <c r="O196" s="525"/>
      <c r="P196" s="525"/>
      <c r="Q196" s="525"/>
      <c r="R196" s="525"/>
      <c r="S196" s="525"/>
      <c r="T196" s="525"/>
      <c r="U196" s="525"/>
      <c r="V196" s="525"/>
      <c r="W196" s="525"/>
      <c r="X196" s="525"/>
      <c r="Y196" s="525"/>
      <c r="Z196" s="525"/>
      <c r="AA196" s="525"/>
      <c r="AB196" s="525"/>
      <c r="AC196" s="525"/>
      <c r="AD196" s="525"/>
    </row>
    <row r="197" ht="15.75" customHeight="1">
      <c r="A197" s="571"/>
      <c r="B197" s="525"/>
      <c r="C197" s="545"/>
      <c r="D197" s="572"/>
      <c r="E197" s="545"/>
      <c r="F197" s="573"/>
      <c r="G197" s="572"/>
      <c r="H197" s="545"/>
      <c r="I197" s="547"/>
      <c r="J197" s="547"/>
      <c r="K197" s="525"/>
      <c r="L197" s="525"/>
      <c r="M197" s="525"/>
      <c r="N197" s="525"/>
      <c r="O197" s="525"/>
      <c r="P197" s="525"/>
      <c r="Q197" s="525"/>
      <c r="R197" s="525"/>
      <c r="S197" s="525"/>
      <c r="T197" s="525"/>
      <c r="U197" s="525"/>
      <c r="V197" s="525"/>
      <c r="W197" s="525"/>
      <c r="X197" s="525"/>
      <c r="Y197" s="525"/>
      <c r="Z197" s="525"/>
      <c r="AA197" s="525"/>
      <c r="AB197" s="525"/>
      <c r="AC197" s="525"/>
      <c r="AD197" s="525"/>
    </row>
    <row r="198" ht="15.75" customHeight="1">
      <c r="A198" s="571"/>
      <c r="B198" s="525"/>
      <c r="C198" s="545"/>
      <c r="D198" s="572"/>
      <c r="E198" s="545"/>
      <c r="F198" s="573"/>
      <c r="G198" s="572"/>
      <c r="H198" s="545"/>
      <c r="I198" s="547"/>
      <c r="J198" s="547"/>
      <c r="K198" s="525"/>
      <c r="L198" s="525"/>
      <c r="M198" s="525"/>
      <c r="N198" s="525"/>
      <c r="O198" s="525"/>
      <c r="P198" s="525"/>
      <c r="Q198" s="525"/>
      <c r="R198" s="525"/>
      <c r="S198" s="525"/>
      <c r="T198" s="525"/>
      <c r="U198" s="525"/>
      <c r="V198" s="525"/>
      <c r="W198" s="525"/>
      <c r="X198" s="525"/>
      <c r="Y198" s="525"/>
      <c r="Z198" s="525"/>
      <c r="AA198" s="525"/>
      <c r="AB198" s="525"/>
      <c r="AC198" s="525"/>
      <c r="AD198" s="525"/>
    </row>
    <row r="199" ht="15.75" customHeight="1">
      <c r="A199" s="571"/>
      <c r="B199" s="525"/>
      <c r="C199" s="545"/>
      <c r="D199" s="572"/>
      <c r="E199" s="545"/>
      <c r="F199" s="573"/>
      <c r="G199" s="572"/>
      <c r="H199" s="545"/>
      <c r="I199" s="547"/>
      <c r="J199" s="547"/>
      <c r="K199" s="525"/>
      <c r="L199" s="525"/>
      <c r="M199" s="525"/>
      <c r="N199" s="525"/>
      <c r="O199" s="525"/>
      <c r="P199" s="525"/>
      <c r="Q199" s="525"/>
      <c r="R199" s="525"/>
      <c r="S199" s="525"/>
      <c r="T199" s="525"/>
      <c r="U199" s="525"/>
      <c r="V199" s="525"/>
      <c r="W199" s="525"/>
      <c r="X199" s="525"/>
      <c r="Y199" s="525"/>
      <c r="Z199" s="525"/>
      <c r="AA199" s="525"/>
      <c r="AB199" s="525"/>
      <c r="AC199" s="525"/>
      <c r="AD199" s="525"/>
    </row>
    <row r="200" ht="15.75" customHeight="1">
      <c r="A200" s="571"/>
      <c r="B200" s="525"/>
      <c r="C200" s="545"/>
      <c r="D200" s="572"/>
      <c r="E200" s="545"/>
      <c r="F200" s="573"/>
      <c r="G200" s="572"/>
      <c r="H200" s="545"/>
      <c r="I200" s="547"/>
      <c r="J200" s="547"/>
      <c r="K200" s="525"/>
      <c r="L200" s="525"/>
      <c r="M200" s="525"/>
      <c r="N200" s="525"/>
      <c r="O200" s="525"/>
      <c r="P200" s="525"/>
      <c r="Q200" s="525"/>
      <c r="R200" s="525"/>
      <c r="S200" s="525"/>
      <c r="T200" s="525"/>
      <c r="U200" s="525"/>
      <c r="V200" s="525"/>
      <c r="W200" s="525"/>
      <c r="X200" s="525"/>
      <c r="Y200" s="525"/>
      <c r="Z200" s="525"/>
      <c r="AA200" s="525"/>
      <c r="AB200" s="525"/>
      <c r="AC200" s="525"/>
      <c r="AD200" s="525"/>
    </row>
    <row r="201" ht="15.75" customHeight="1">
      <c r="A201" s="571"/>
      <c r="B201" s="525"/>
      <c r="C201" s="545"/>
      <c r="D201" s="572"/>
      <c r="E201" s="545"/>
      <c r="F201" s="573"/>
      <c r="G201" s="572"/>
      <c r="H201" s="545"/>
      <c r="I201" s="547"/>
      <c r="J201" s="547"/>
      <c r="K201" s="525"/>
      <c r="L201" s="525"/>
      <c r="M201" s="525"/>
      <c r="N201" s="525"/>
      <c r="O201" s="525"/>
      <c r="P201" s="525"/>
      <c r="Q201" s="525"/>
      <c r="R201" s="525"/>
      <c r="S201" s="525"/>
      <c r="T201" s="525"/>
      <c r="U201" s="525"/>
      <c r="V201" s="525"/>
      <c r="W201" s="525"/>
      <c r="X201" s="525"/>
      <c r="Y201" s="525"/>
      <c r="Z201" s="525"/>
      <c r="AA201" s="525"/>
      <c r="AB201" s="525"/>
      <c r="AC201" s="525"/>
      <c r="AD201" s="525"/>
    </row>
    <row r="202" ht="15.75" customHeight="1">
      <c r="A202" s="571"/>
      <c r="B202" s="525"/>
      <c r="C202" s="545"/>
      <c r="D202" s="572"/>
      <c r="E202" s="545"/>
      <c r="F202" s="573"/>
      <c r="G202" s="572"/>
      <c r="H202" s="545"/>
      <c r="I202" s="547"/>
      <c r="J202" s="547"/>
      <c r="K202" s="525"/>
      <c r="L202" s="525"/>
      <c r="M202" s="525"/>
      <c r="N202" s="525"/>
      <c r="O202" s="525"/>
      <c r="P202" s="525"/>
      <c r="Q202" s="525"/>
      <c r="R202" s="525"/>
      <c r="S202" s="525"/>
      <c r="T202" s="525"/>
      <c r="U202" s="525"/>
      <c r="V202" s="525"/>
      <c r="W202" s="525"/>
      <c r="X202" s="525"/>
      <c r="Y202" s="525"/>
      <c r="Z202" s="525"/>
      <c r="AA202" s="525"/>
      <c r="AB202" s="525"/>
      <c r="AC202" s="525"/>
      <c r="AD202" s="525"/>
    </row>
    <row r="203" ht="15.75" customHeight="1">
      <c r="A203" s="571"/>
      <c r="B203" s="525"/>
      <c r="C203" s="545"/>
      <c r="D203" s="572"/>
      <c r="E203" s="545"/>
      <c r="F203" s="573"/>
      <c r="G203" s="572"/>
      <c r="H203" s="545"/>
      <c r="I203" s="547"/>
      <c r="J203" s="547"/>
      <c r="K203" s="525"/>
      <c r="L203" s="525"/>
      <c r="M203" s="525"/>
      <c r="N203" s="525"/>
      <c r="O203" s="525"/>
      <c r="P203" s="525"/>
      <c r="Q203" s="525"/>
      <c r="R203" s="525"/>
      <c r="S203" s="525"/>
      <c r="T203" s="525"/>
      <c r="U203" s="525"/>
      <c r="V203" s="525"/>
      <c r="W203" s="525"/>
      <c r="X203" s="525"/>
      <c r="Y203" s="525"/>
      <c r="Z203" s="525"/>
      <c r="AA203" s="525"/>
      <c r="AB203" s="525"/>
      <c r="AC203" s="525"/>
      <c r="AD203" s="525"/>
    </row>
    <row r="204" ht="15.75" customHeight="1">
      <c r="A204" s="571"/>
      <c r="B204" s="525"/>
      <c r="C204" s="545"/>
      <c r="D204" s="572"/>
      <c r="E204" s="545"/>
      <c r="F204" s="573"/>
      <c r="G204" s="572"/>
      <c r="H204" s="545"/>
      <c r="I204" s="547"/>
      <c r="J204" s="547"/>
      <c r="K204" s="525"/>
      <c r="L204" s="525"/>
      <c r="M204" s="525"/>
      <c r="N204" s="525"/>
      <c r="O204" s="525"/>
      <c r="P204" s="525"/>
      <c r="Q204" s="525"/>
      <c r="R204" s="525"/>
      <c r="S204" s="525"/>
      <c r="T204" s="525"/>
      <c r="U204" s="525"/>
      <c r="V204" s="525"/>
      <c r="W204" s="525"/>
      <c r="X204" s="525"/>
      <c r="Y204" s="525"/>
      <c r="Z204" s="525"/>
      <c r="AA204" s="525"/>
      <c r="AB204" s="525"/>
      <c r="AC204" s="525"/>
      <c r="AD204" s="525"/>
    </row>
    <row r="205" ht="15.75" customHeight="1">
      <c r="A205" s="571"/>
      <c r="B205" s="525"/>
      <c r="C205" s="545"/>
      <c r="D205" s="572"/>
      <c r="E205" s="545"/>
      <c r="F205" s="573"/>
      <c r="G205" s="572"/>
      <c r="H205" s="545"/>
      <c r="I205" s="547"/>
      <c r="J205" s="547"/>
      <c r="K205" s="525"/>
      <c r="L205" s="525"/>
      <c r="M205" s="525"/>
      <c r="N205" s="525"/>
      <c r="O205" s="525"/>
      <c r="P205" s="525"/>
      <c r="Q205" s="525"/>
      <c r="R205" s="525"/>
      <c r="S205" s="525"/>
      <c r="T205" s="525"/>
      <c r="U205" s="525"/>
      <c r="V205" s="525"/>
      <c r="W205" s="525"/>
      <c r="X205" s="525"/>
      <c r="Y205" s="525"/>
      <c r="Z205" s="525"/>
      <c r="AA205" s="525"/>
      <c r="AB205" s="525"/>
      <c r="AC205" s="525"/>
      <c r="AD205" s="525"/>
    </row>
    <row r="206" ht="15.75" customHeight="1">
      <c r="A206" s="571"/>
      <c r="B206" s="525"/>
      <c r="C206" s="545"/>
      <c r="D206" s="572"/>
      <c r="E206" s="545"/>
      <c r="F206" s="573"/>
      <c r="G206" s="572"/>
      <c r="H206" s="545"/>
      <c r="I206" s="547"/>
      <c r="J206" s="547"/>
      <c r="K206" s="525"/>
      <c r="L206" s="525"/>
      <c r="M206" s="525"/>
      <c r="N206" s="525"/>
      <c r="O206" s="525"/>
      <c r="P206" s="525"/>
      <c r="Q206" s="525"/>
      <c r="R206" s="525"/>
      <c r="S206" s="525"/>
      <c r="T206" s="525"/>
      <c r="U206" s="525"/>
      <c r="V206" s="525"/>
      <c r="W206" s="525"/>
      <c r="X206" s="525"/>
      <c r="Y206" s="525"/>
      <c r="Z206" s="525"/>
      <c r="AA206" s="525"/>
      <c r="AB206" s="525"/>
      <c r="AC206" s="525"/>
      <c r="AD206" s="525"/>
    </row>
    <row r="207" ht="15.75" customHeight="1">
      <c r="A207" s="571"/>
      <c r="B207" s="525"/>
      <c r="C207" s="545"/>
      <c r="D207" s="572"/>
      <c r="E207" s="545"/>
      <c r="F207" s="573"/>
      <c r="G207" s="572"/>
      <c r="H207" s="545"/>
      <c r="I207" s="547"/>
      <c r="J207" s="547"/>
      <c r="K207" s="525"/>
      <c r="L207" s="525"/>
      <c r="M207" s="525"/>
      <c r="N207" s="525"/>
      <c r="O207" s="525"/>
      <c r="P207" s="525"/>
      <c r="Q207" s="525"/>
      <c r="R207" s="525"/>
      <c r="S207" s="525"/>
      <c r="T207" s="525"/>
      <c r="U207" s="525"/>
      <c r="V207" s="525"/>
      <c r="W207" s="525"/>
      <c r="X207" s="525"/>
      <c r="Y207" s="525"/>
      <c r="Z207" s="525"/>
      <c r="AA207" s="525"/>
      <c r="AB207" s="525"/>
      <c r="AC207" s="525"/>
      <c r="AD207" s="525"/>
    </row>
    <row r="208" ht="15.75" customHeight="1">
      <c r="A208" s="571"/>
      <c r="B208" s="525"/>
      <c r="C208" s="545"/>
      <c r="D208" s="572"/>
      <c r="E208" s="545"/>
      <c r="F208" s="573"/>
      <c r="G208" s="572"/>
      <c r="H208" s="545"/>
      <c r="I208" s="547"/>
      <c r="J208" s="547"/>
      <c r="K208" s="525"/>
      <c r="L208" s="525"/>
      <c r="M208" s="525"/>
      <c r="N208" s="525"/>
      <c r="O208" s="525"/>
      <c r="P208" s="525"/>
      <c r="Q208" s="525"/>
      <c r="R208" s="525"/>
      <c r="S208" s="525"/>
      <c r="T208" s="525"/>
      <c r="U208" s="525"/>
      <c r="V208" s="525"/>
      <c r="W208" s="525"/>
      <c r="X208" s="525"/>
      <c r="Y208" s="525"/>
      <c r="Z208" s="525"/>
      <c r="AA208" s="525"/>
      <c r="AB208" s="525"/>
      <c r="AC208" s="525"/>
      <c r="AD208" s="525"/>
    </row>
    <row r="209" ht="15.75" customHeight="1">
      <c r="A209" s="571"/>
      <c r="B209" s="525"/>
      <c r="C209" s="545"/>
      <c r="D209" s="572"/>
      <c r="E209" s="545"/>
      <c r="F209" s="573"/>
      <c r="G209" s="572"/>
      <c r="H209" s="545"/>
      <c r="I209" s="547"/>
      <c r="J209" s="547"/>
      <c r="K209" s="525"/>
      <c r="L209" s="525"/>
      <c r="M209" s="525"/>
      <c r="N209" s="525"/>
      <c r="O209" s="525"/>
      <c r="P209" s="525"/>
      <c r="Q209" s="525"/>
      <c r="R209" s="525"/>
      <c r="S209" s="525"/>
      <c r="T209" s="525"/>
      <c r="U209" s="525"/>
      <c r="V209" s="525"/>
      <c r="W209" s="525"/>
      <c r="X209" s="525"/>
      <c r="Y209" s="525"/>
      <c r="Z209" s="525"/>
      <c r="AA209" s="525"/>
      <c r="AB209" s="525"/>
      <c r="AC209" s="525"/>
      <c r="AD209" s="525"/>
    </row>
    <row r="210" ht="15.75" customHeight="1">
      <c r="A210" s="571"/>
      <c r="B210" s="525"/>
      <c r="C210" s="545"/>
      <c r="D210" s="572"/>
      <c r="E210" s="545"/>
      <c r="F210" s="573"/>
      <c r="G210" s="572"/>
      <c r="H210" s="545"/>
      <c r="I210" s="547"/>
      <c r="J210" s="547"/>
      <c r="K210" s="525"/>
      <c r="L210" s="525"/>
      <c r="M210" s="525"/>
      <c r="N210" s="525"/>
      <c r="O210" s="525"/>
      <c r="P210" s="525"/>
      <c r="Q210" s="525"/>
      <c r="R210" s="525"/>
      <c r="S210" s="525"/>
      <c r="T210" s="525"/>
      <c r="U210" s="525"/>
      <c r="V210" s="525"/>
      <c r="W210" s="525"/>
      <c r="X210" s="525"/>
      <c r="Y210" s="525"/>
      <c r="Z210" s="525"/>
      <c r="AA210" s="525"/>
      <c r="AB210" s="525"/>
      <c r="AC210" s="525"/>
      <c r="AD210" s="525"/>
    </row>
    <row r="211" ht="15.75" customHeight="1">
      <c r="A211" s="571"/>
      <c r="B211" s="525"/>
      <c r="C211" s="545"/>
      <c r="D211" s="572"/>
      <c r="E211" s="545"/>
      <c r="F211" s="573"/>
      <c r="G211" s="572"/>
      <c r="H211" s="545"/>
      <c r="I211" s="547"/>
      <c r="J211" s="547"/>
      <c r="K211" s="525"/>
      <c r="L211" s="525"/>
      <c r="M211" s="525"/>
      <c r="N211" s="525"/>
      <c r="O211" s="525"/>
      <c r="P211" s="525"/>
      <c r="Q211" s="525"/>
      <c r="R211" s="525"/>
      <c r="S211" s="525"/>
      <c r="T211" s="525"/>
      <c r="U211" s="525"/>
      <c r="V211" s="525"/>
      <c r="W211" s="525"/>
      <c r="X211" s="525"/>
      <c r="Y211" s="525"/>
      <c r="Z211" s="525"/>
      <c r="AA211" s="525"/>
      <c r="AB211" s="525"/>
      <c r="AC211" s="525"/>
      <c r="AD211" s="525"/>
    </row>
    <row r="212" ht="15.75" customHeight="1">
      <c r="A212" s="571"/>
      <c r="B212" s="525"/>
      <c r="C212" s="545"/>
      <c r="D212" s="572"/>
      <c r="E212" s="545"/>
      <c r="F212" s="573"/>
      <c r="G212" s="572"/>
      <c r="H212" s="545"/>
      <c r="I212" s="547"/>
      <c r="J212" s="547"/>
      <c r="K212" s="525"/>
      <c r="L212" s="525"/>
      <c r="M212" s="525"/>
      <c r="N212" s="525"/>
      <c r="O212" s="525"/>
      <c r="P212" s="525"/>
      <c r="Q212" s="525"/>
      <c r="R212" s="525"/>
      <c r="S212" s="525"/>
      <c r="T212" s="525"/>
      <c r="U212" s="525"/>
      <c r="V212" s="525"/>
      <c r="W212" s="525"/>
      <c r="X212" s="525"/>
      <c r="Y212" s="525"/>
      <c r="Z212" s="525"/>
      <c r="AA212" s="525"/>
      <c r="AB212" s="525"/>
      <c r="AC212" s="525"/>
      <c r="AD212" s="525"/>
    </row>
    <row r="213" ht="15.75" customHeight="1">
      <c r="A213" s="571"/>
      <c r="B213" s="525"/>
      <c r="C213" s="545"/>
      <c r="D213" s="572"/>
      <c r="E213" s="545"/>
      <c r="F213" s="573"/>
      <c r="G213" s="572"/>
      <c r="H213" s="545"/>
      <c r="I213" s="547"/>
      <c r="J213" s="547"/>
      <c r="K213" s="525"/>
      <c r="L213" s="525"/>
      <c r="M213" s="525"/>
      <c r="N213" s="525"/>
      <c r="O213" s="525"/>
      <c r="P213" s="525"/>
      <c r="Q213" s="525"/>
      <c r="R213" s="525"/>
      <c r="S213" s="525"/>
      <c r="T213" s="525"/>
      <c r="U213" s="525"/>
      <c r="V213" s="525"/>
      <c r="W213" s="525"/>
      <c r="X213" s="525"/>
      <c r="Y213" s="525"/>
      <c r="Z213" s="525"/>
      <c r="AA213" s="525"/>
      <c r="AB213" s="525"/>
      <c r="AC213" s="525"/>
      <c r="AD213" s="525"/>
    </row>
    <row r="214" ht="15.75" customHeight="1">
      <c r="A214" s="571"/>
      <c r="B214" s="525"/>
      <c r="C214" s="545"/>
      <c r="D214" s="572"/>
      <c r="E214" s="545"/>
      <c r="F214" s="573"/>
      <c r="G214" s="572"/>
      <c r="H214" s="545"/>
      <c r="I214" s="547"/>
      <c r="J214" s="547"/>
      <c r="K214" s="525"/>
      <c r="L214" s="525"/>
      <c r="M214" s="525"/>
      <c r="N214" s="525"/>
      <c r="O214" s="525"/>
      <c r="P214" s="525"/>
      <c r="Q214" s="525"/>
      <c r="R214" s="525"/>
      <c r="S214" s="525"/>
      <c r="T214" s="525"/>
      <c r="U214" s="525"/>
      <c r="V214" s="525"/>
      <c r="W214" s="525"/>
      <c r="X214" s="525"/>
      <c r="Y214" s="525"/>
      <c r="Z214" s="525"/>
      <c r="AA214" s="525"/>
      <c r="AB214" s="525"/>
      <c r="AC214" s="525"/>
      <c r="AD214" s="525"/>
    </row>
    <row r="215" ht="15.75" customHeight="1">
      <c r="A215" s="571"/>
      <c r="B215" s="525"/>
      <c r="C215" s="545"/>
      <c r="D215" s="572"/>
      <c r="E215" s="545"/>
      <c r="F215" s="573"/>
      <c r="G215" s="572"/>
      <c r="H215" s="545"/>
      <c r="I215" s="547"/>
      <c r="J215" s="547"/>
      <c r="K215" s="525"/>
      <c r="L215" s="525"/>
      <c r="M215" s="525"/>
      <c r="N215" s="525"/>
      <c r="O215" s="525"/>
      <c r="P215" s="525"/>
      <c r="Q215" s="525"/>
      <c r="R215" s="525"/>
      <c r="S215" s="525"/>
      <c r="T215" s="525"/>
      <c r="U215" s="525"/>
      <c r="V215" s="525"/>
      <c r="W215" s="525"/>
      <c r="X215" s="525"/>
      <c r="Y215" s="525"/>
      <c r="Z215" s="525"/>
      <c r="AA215" s="525"/>
      <c r="AB215" s="525"/>
      <c r="AC215" s="525"/>
      <c r="AD215" s="525"/>
    </row>
    <row r="216" ht="15.75" customHeight="1">
      <c r="A216" s="571"/>
      <c r="B216" s="525"/>
      <c r="C216" s="545"/>
      <c r="D216" s="572"/>
      <c r="E216" s="545"/>
      <c r="F216" s="573"/>
      <c r="G216" s="572"/>
      <c r="H216" s="545"/>
      <c r="I216" s="547"/>
      <c r="J216" s="547"/>
      <c r="K216" s="525"/>
      <c r="L216" s="525"/>
      <c r="M216" s="525"/>
      <c r="N216" s="525"/>
      <c r="O216" s="525"/>
      <c r="P216" s="525"/>
      <c r="Q216" s="525"/>
      <c r="R216" s="525"/>
      <c r="S216" s="525"/>
      <c r="T216" s="525"/>
      <c r="U216" s="525"/>
      <c r="V216" s="525"/>
      <c r="W216" s="525"/>
      <c r="X216" s="525"/>
      <c r="Y216" s="525"/>
      <c r="Z216" s="525"/>
      <c r="AA216" s="525"/>
      <c r="AB216" s="525"/>
      <c r="AC216" s="525"/>
      <c r="AD216" s="525"/>
    </row>
    <row r="217" ht="15.75" customHeight="1">
      <c r="A217" s="571"/>
      <c r="B217" s="525"/>
      <c r="C217" s="545"/>
      <c r="D217" s="572"/>
      <c r="E217" s="545"/>
      <c r="F217" s="573"/>
      <c r="G217" s="572"/>
      <c r="H217" s="545"/>
      <c r="I217" s="547"/>
      <c r="J217" s="547"/>
      <c r="K217" s="525"/>
      <c r="L217" s="525"/>
      <c r="M217" s="525"/>
      <c r="N217" s="525"/>
      <c r="O217" s="525"/>
      <c r="P217" s="525"/>
      <c r="Q217" s="525"/>
      <c r="R217" s="525"/>
      <c r="S217" s="525"/>
      <c r="T217" s="525"/>
      <c r="U217" s="525"/>
      <c r="V217" s="525"/>
      <c r="W217" s="525"/>
      <c r="X217" s="525"/>
      <c r="Y217" s="525"/>
      <c r="Z217" s="525"/>
      <c r="AA217" s="525"/>
      <c r="AB217" s="525"/>
      <c r="AC217" s="525"/>
      <c r="AD217" s="525"/>
    </row>
    <row r="218" ht="15.75" customHeight="1">
      <c r="A218" s="571"/>
      <c r="B218" s="525"/>
      <c r="C218" s="545"/>
      <c r="D218" s="572"/>
      <c r="E218" s="545"/>
      <c r="F218" s="573"/>
      <c r="G218" s="572"/>
      <c r="H218" s="545"/>
      <c r="I218" s="547"/>
      <c r="J218" s="547"/>
      <c r="K218" s="525"/>
      <c r="L218" s="525"/>
      <c r="M218" s="525"/>
      <c r="N218" s="525"/>
      <c r="O218" s="525"/>
      <c r="P218" s="525"/>
      <c r="Q218" s="525"/>
      <c r="R218" s="525"/>
      <c r="S218" s="525"/>
      <c r="T218" s="525"/>
      <c r="U218" s="525"/>
      <c r="V218" s="525"/>
      <c r="W218" s="525"/>
      <c r="X218" s="525"/>
      <c r="Y218" s="525"/>
      <c r="Z218" s="525"/>
      <c r="AA218" s="525"/>
      <c r="AB218" s="525"/>
      <c r="AC218" s="525"/>
      <c r="AD218" s="525"/>
    </row>
    <row r="219" ht="15.75" customHeight="1">
      <c r="A219" s="571"/>
      <c r="B219" s="525"/>
      <c r="C219" s="545"/>
      <c r="D219" s="572"/>
      <c r="E219" s="545"/>
      <c r="F219" s="573"/>
      <c r="G219" s="572"/>
      <c r="H219" s="545"/>
      <c r="I219" s="547"/>
      <c r="J219" s="547"/>
      <c r="K219" s="525"/>
      <c r="L219" s="525"/>
      <c r="M219" s="525"/>
      <c r="N219" s="525"/>
      <c r="O219" s="525"/>
      <c r="P219" s="525"/>
      <c r="Q219" s="525"/>
      <c r="R219" s="525"/>
      <c r="S219" s="525"/>
      <c r="T219" s="525"/>
      <c r="U219" s="525"/>
      <c r="V219" s="525"/>
      <c r="W219" s="525"/>
      <c r="X219" s="525"/>
      <c r="Y219" s="525"/>
      <c r="Z219" s="525"/>
      <c r="AA219" s="525"/>
      <c r="AB219" s="525"/>
      <c r="AC219" s="525"/>
      <c r="AD219" s="525"/>
    </row>
    <row r="220" ht="15.75" customHeight="1">
      <c r="A220" s="571"/>
      <c r="B220" s="525"/>
      <c r="C220" s="545"/>
      <c r="D220" s="572"/>
      <c r="E220" s="545"/>
      <c r="F220" s="573"/>
      <c r="G220" s="572"/>
      <c r="H220" s="545"/>
      <c r="I220" s="547"/>
      <c r="J220" s="547"/>
      <c r="K220" s="525"/>
      <c r="L220" s="525"/>
      <c r="M220" s="525"/>
      <c r="N220" s="525"/>
      <c r="O220" s="525"/>
      <c r="P220" s="525"/>
      <c r="Q220" s="525"/>
      <c r="R220" s="525"/>
      <c r="S220" s="525"/>
      <c r="T220" s="525"/>
      <c r="U220" s="525"/>
      <c r="V220" s="525"/>
      <c r="W220" s="525"/>
      <c r="X220" s="525"/>
      <c r="Y220" s="525"/>
      <c r="Z220" s="525"/>
      <c r="AA220" s="525"/>
      <c r="AB220" s="525"/>
      <c r="AC220" s="525"/>
      <c r="AD220" s="525"/>
    </row>
    <row r="221" ht="15.75" customHeight="1">
      <c r="A221" s="571"/>
      <c r="B221" s="525"/>
      <c r="C221" s="545"/>
      <c r="D221" s="572"/>
      <c r="E221" s="545"/>
      <c r="F221" s="573"/>
      <c r="G221" s="572"/>
      <c r="H221" s="545"/>
      <c r="I221" s="547"/>
      <c r="J221" s="547"/>
      <c r="K221" s="525"/>
      <c r="L221" s="525"/>
      <c r="M221" s="525"/>
      <c r="N221" s="525"/>
      <c r="O221" s="525"/>
      <c r="P221" s="525"/>
      <c r="Q221" s="525"/>
      <c r="R221" s="525"/>
      <c r="S221" s="525"/>
      <c r="T221" s="525"/>
      <c r="U221" s="525"/>
      <c r="V221" s="525"/>
      <c r="W221" s="525"/>
      <c r="X221" s="525"/>
      <c r="Y221" s="525"/>
      <c r="Z221" s="525"/>
      <c r="AA221" s="525"/>
      <c r="AB221" s="525"/>
      <c r="AC221" s="525"/>
      <c r="AD221" s="525"/>
    </row>
    <row r="222" ht="15.75" customHeight="1">
      <c r="A222" s="571"/>
      <c r="B222" s="525"/>
      <c r="C222" s="545"/>
      <c r="D222" s="572"/>
      <c r="E222" s="545"/>
      <c r="F222" s="573"/>
      <c r="G222" s="572"/>
      <c r="H222" s="545"/>
      <c r="I222" s="547"/>
      <c r="J222" s="547"/>
      <c r="K222" s="525"/>
      <c r="L222" s="525"/>
      <c r="M222" s="525"/>
      <c r="N222" s="525"/>
      <c r="O222" s="525"/>
      <c r="P222" s="525"/>
      <c r="Q222" s="525"/>
      <c r="R222" s="525"/>
      <c r="S222" s="525"/>
      <c r="T222" s="525"/>
      <c r="U222" s="525"/>
      <c r="V222" s="525"/>
      <c r="W222" s="525"/>
      <c r="X222" s="525"/>
      <c r="Y222" s="525"/>
      <c r="Z222" s="525"/>
      <c r="AA222" s="525"/>
      <c r="AB222" s="525"/>
      <c r="AC222" s="525"/>
      <c r="AD222" s="525"/>
    </row>
    <row r="223" ht="15.75" customHeight="1">
      <c r="A223" s="571"/>
      <c r="B223" s="525"/>
      <c r="C223" s="545"/>
      <c r="D223" s="572"/>
      <c r="E223" s="545"/>
      <c r="F223" s="573"/>
      <c r="G223" s="572"/>
      <c r="H223" s="545"/>
      <c r="I223" s="547"/>
      <c r="J223" s="547"/>
      <c r="K223" s="525"/>
      <c r="L223" s="525"/>
      <c r="M223" s="525"/>
      <c r="N223" s="525"/>
      <c r="O223" s="525"/>
      <c r="P223" s="525"/>
      <c r="Q223" s="525"/>
      <c r="R223" s="525"/>
      <c r="S223" s="525"/>
      <c r="T223" s="525"/>
      <c r="U223" s="525"/>
      <c r="V223" s="525"/>
      <c r="W223" s="525"/>
      <c r="X223" s="525"/>
      <c r="Y223" s="525"/>
      <c r="Z223" s="525"/>
      <c r="AA223" s="525"/>
      <c r="AB223" s="525"/>
      <c r="AC223" s="525"/>
      <c r="AD223" s="525"/>
    </row>
    <row r="224" ht="15.75" customHeight="1">
      <c r="A224" s="571"/>
      <c r="B224" s="525"/>
      <c r="C224" s="545"/>
      <c r="D224" s="572"/>
      <c r="E224" s="545"/>
      <c r="F224" s="573"/>
      <c r="G224" s="572"/>
      <c r="H224" s="545"/>
      <c r="I224" s="547"/>
      <c r="J224" s="547"/>
      <c r="K224" s="525"/>
      <c r="L224" s="525"/>
      <c r="M224" s="525"/>
      <c r="N224" s="525"/>
      <c r="O224" s="525"/>
      <c r="P224" s="525"/>
      <c r="Q224" s="525"/>
      <c r="R224" s="525"/>
      <c r="S224" s="525"/>
      <c r="T224" s="525"/>
      <c r="U224" s="525"/>
      <c r="V224" s="525"/>
      <c r="W224" s="525"/>
      <c r="X224" s="525"/>
      <c r="Y224" s="525"/>
      <c r="Z224" s="525"/>
      <c r="AA224" s="525"/>
      <c r="AB224" s="525"/>
      <c r="AC224" s="525"/>
      <c r="AD224" s="525"/>
    </row>
    <row r="225" ht="15.75" customHeight="1">
      <c r="A225" s="571"/>
      <c r="B225" s="525"/>
      <c r="C225" s="545"/>
      <c r="D225" s="572"/>
      <c r="E225" s="545"/>
      <c r="F225" s="573"/>
      <c r="G225" s="572"/>
      <c r="H225" s="545"/>
      <c r="I225" s="547"/>
      <c r="J225" s="547"/>
      <c r="K225" s="525"/>
      <c r="L225" s="525"/>
      <c r="M225" s="525"/>
      <c r="N225" s="525"/>
      <c r="O225" s="525"/>
      <c r="P225" s="525"/>
      <c r="Q225" s="525"/>
      <c r="R225" s="525"/>
      <c r="S225" s="525"/>
      <c r="T225" s="525"/>
      <c r="U225" s="525"/>
      <c r="V225" s="525"/>
      <c r="W225" s="525"/>
      <c r="X225" s="525"/>
      <c r="Y225" s="525"/>
      <c r="Z225" s="525"/>
      <c r="AA225" s="525"/>
      <c r="AB225" s="525"/>
      <c r="AC225" s="525"/>
      <c r="AD225" s="525"/>
    </row>
    <row r="226" ht="15.75" customHeight="1">
      <c r="A226" s="571"/>
      <c r="B226" s="525"/>
      <c r="C226" s="545"/>
      <c r="D226" s="572"/>
      <c r="E226" s="545"/>
      <c r="F226" s="573"/>
      <c r="G226" s="572"/>
      <c r="H226" s="545"/>
      <c r="I226" s="547"/>
      <c r="J226" s="547"/>
      <c r="K226" s="525"/>
      <c r="L226" s="525"/>
      <c r="M226" s="525"/>
      <c r="N226" s="525"/>
      <c r="O226" s="525"/>
      <c r="P226" s="525"/>
      <c r="Q226" s="525"/>
      <c r="R226" s="525"/>
      <c r="S226" s="525"/>
      <c r="T226" s="525"/>
      <c r="U226" s="525"/>
      <c r="V226" s="525"/>
      <c r="W226" s="525"/>
      <c r="X226" s="525"/>
      <c r="Y226" s="525"/>
      <c r="Z226" s="525"/>
      <c r="AA226" s="525"/>
      <c r="AB226" s="525"/>
      <c r="AC226" s="525"/>
      <c r="AD226" s="525"/>
    </row>
    <row r="227" ht="15.75" customHeight="1">
      <c r="A227" s="571"/>
      <c r="B227" s="525"/>
      <c r="C227" s="545"/>
      <c r="D227" s="572"/>
      <c r="E227" s="545"/>
      <c r="F227" s="573"/>
      <c r="G227" s="572"/>
      <c r="H227" s="545"/>
      <c r="I227" s="547"/>
      <c r="J227" s="547"/>
      <c r="K227" s="525"/>
      <c r="L227" s="525"/>
      <c r="M227" s="525"/>
      <c r="N227" s="525"/>
      <c r="O227" s="525"/>
      <c r="P227" s="525"/>
      <c r="Q227" s="525"/>
      <c r="R227" s="525"/>
      <c r="S227" s="525"/>
      <c r="T227" s="525"/>
      <c r="U227" s="525"/>
      <c r="V227" s="525"/>
      <c r="W227" s="525"/>
      <c r="X227" s="525"/>
      <c r="Y227" s="525"/>
      <c r="Z227" s="525"/>
      <c r="AA227" s="525"/>
      <c r="AB227" s="525"/>
      <c r="AC227" s="525"/>
      <c r="AD227" s="525"/>
    </row>
    <row r="228" ht="15.75" customHeight="1">
      <c r="A228" s="571"/>
      <c r="B228" s="525"/>
      <c r="C228" s="545"/>
      <c r="D228" s="572"/>
      <c r="E228" s="545"/>
      <c r="F228" s="573"/>
      <c r="G228" s="572"/>
      <c r="H228" s="545"/>
      <c r="I228" s="547"/>
      <c r="J228" s="547"/>
      <c r="K228" s="525"/>
      <c r="L228" s="525"/>
      <c r="M228" s="525"/>
      <c r="N228" s="525"/>
      <c r="O228" s="525"/>
      <c r="P228" s="525"/>
      <c r="Q228" s="525"/>
      <c r="R228" s="525"/>
      <c r="S228" s="525"/>
      <c r="T228" s="525"/>
      <c r="U228" s="525"/>
      <c r="V228" s="525"/>
      <c r="W228" s="525"/>
      <c r="X228" s="525"/>
      <c r="Y228" s="525"/>
      <c r="Z228" s="525"/>
      <c r="AA228" s="525"/>
      <c r="AB228" s="525"/>
      <c r="AC228" s="525"/>
      <c r="AD228" s="525"/>
    </row>
    <row r="229" ht="15.75" customHeight="1">
      <c r="A229" s="571"/>
      <c r="B229" s="525"/>
      <c r="C229" s="545"/>
      <c r="D229" s="572"/>
      <c r="E229" s="545"/>
      <c r="F229" s="573"/>
      <c r="G229" s="572"/>
      <c r="H229" s="545"/>
      <c r="I229" s="547"/>
      <c r="J229" s="547"/>
      <c r="K229" s="525"/>
      <c r="L229" s="525"/>
      <c r="M229" s="525"/>
      <c r="N229" s="525"/>
      <c r="O229" s="525"/>
      <c r="P229" s="525"/>
      <c r="Q229" s="525"/>
      <c r="R229" s="525"/>
      <c r="S229" s="525"/>
      <c r="T229" s="525"/>
      <c r="U229" s="525"/>
      <c r="V229" s="525"/>
      <c r="W229" s="525"/>
      <c r="X229" s="525"/>
      <c r="Y229" s="525"/>
      <c r="Z229" s="525"/>
      <c r="AA229" s="525"/>
      <c r="AB229" s="525"/>
      <c r="AC229" s="525"/>
      <c r="AD229" s="525"/>
    </row>
    <row r="230" ht="15.75" customHeight="1">
      <c r="A230" s="571"/>
      <c r="B230" s="525"/>
      <c r="C230" s="545"/>
      <c r="D230" s="572"/>
      <c r="E230" s="545"/>
      <c r="F230" s="573"/>
      <c r="G230" s="572"/>
      <c r="H230" s="545"/>
      <c r="I230" s="547"/>
      <c r="J230" s="547"/>
      <c r="K230" s="525"/>
      <c r="L230" s="525"/>
      <c r="M230" s="525"/>
      <c r="N230" s="525"/>
      <c r="O230" s="525"/>
      <c r="P230" s="525"/>
      <c r="Q230" s="525"/>
      <c r="R230" s="525"/>
      <c r="S230" s="525"/>
      <c r="T230" s="525"/>
      <c r="U230" s="525"/>
      <c r="V230" s="525"/>
      <c r="W230" s="525"/>
      <c r="X230" s="525"/>
      <c r="Y230" s="525"/>
      <c r="Z230" s="525"/>
      <c r="AA230" s="525"/>
      <c r="AB230" s="525"/>
      <c r="AC230" s="525"/>
      <c r="AD230" s="525"/>
    </row>
    <row r="231" ht="15.75" customHeight="1">
      <c r="A231" s="571"/>
      <c r="B231" s="525"/>
      <c r="C231" s="545"/>
      <c r="D231" s="572"/>
      <c r="E231" s="545"/>
      <c r="F231" s="573"/>
      <c r="G231" s="572"/>
      <c r="H231" s="545"/>
      <c r="I231" s="547"/>
      <c r="J231" s="547"/>
      <c r="K231" s="525"/>
      <c r="L231" s="525"/>
      <c r="M231" s="525"/>
      <c r="N231" s="525"/>
      <c r="O231" s="525"/>
      <c r="P231" s="525"/>
      <c r="Q231" s="525"/>
      <c r="R231" s="525"/>
      <c r="S231" s="525"/>
      <c r="T231" s="525"/>
      <c r="U231" s="525"/>
      <c r="V231" s="525"/>
      <c r="W231" s="525"/>
      <c r="X231" s="525"/>
      <c r="Y231" s="525"/>
      <c r="Z231" s="525"/>
      <c r="AA231" s="525"/>
      <c r="AB231" s="525"/>
      <c r="AC231" s="525"/>
      <c r="AD231" s="525"/>
    </row>
    <row r="232" ht="15.75" customHeight="1">
      <c r="A232" s="571"/>
      <c r="B232" s="525"/>
      <c r="C232" s="545"/>
      <c r="D232" s="572"/>
      <c r="E232" s="545"/>
      <c r="F232" s="573"/>
      <c r="G232" s="572"/>
      <c r="H232" s="545"/>
      <c r="I232" s="547"/>
      <c r="J232" s="547"/>
      <c r="K232" s="525"/>
      <c r="L232" s="525"/>
      <c r="M232" s="525"/>
      <c r="N232" s="525"/>
      <c r="O232" s="525"/>
      <c r="P232" s="525"/>
      <c r="Q232" s="525"/>
      <c r="R232" s="525"/>
      <c r="S232" s="525"/>
      <c r="T232" s="525"/>
      <c r="U232" s="525"/>
      <c r="V232" s="525"/>
      <c r="W232" s="525"/>
      <c r="X232" s="525"/>
      <c r="Y232" s="525"/>
      <c r="Z232" s="525"/>
      <c r="AA232" s="525"/>
      <c r="AB232" s="525"/>
      <c r="AC232" s="525"/>
      <c r="AD232" s="525"/>
    </row>
    <row r="233" ht="15.75" customHeight="1">
      <c r="A233" s="571"/>
      <c r="B233" s="525"/>
      <c r="C233" s="545"/>
      <c r="D233" s="572"/>
      <c r="E233" s="545"/>
      <c r="F233" s="573"/>
      <c r="G233" s="572"/>
      <c r="H233" s="545"/>
      <c r="I233" s="547"/>
      <c r="J233" s="547"/>
      <c r="K233" s="525"/>
      <c r="L233" s="525"/>
      <c r="M233" s="525"/>
      <c r="N233" s="525"/>
      <c r="O233" s="525"/>
      <c r="P233" s="525"/>
      <c r="Q233" s="525"/>
      <c r="R233" s="525"/>
      <c r="S233" s="525"/>
      <c r="T233" s="525"/>
      <c r="U233" s="525"/>
      <c r="V233" s="525"/>
      <c r="W233" s="525"/>
      <c r="X233" s="525"/>
      <c r="Y233" s="525"/>
      <c r="Z233" s="525"/>
      <c r="AA233" s="525"/>
      <c r="AB233" s="525"/>
      <c r="AC233" s="525"/>
      <c r="AD233" s="525"/>
    </row>
    <row r="234" ht="15.75" customHeight="1">
      <c r="A234" s="571"/>
      <c r="B234" s="525"/>
      <c r="C234" s="545"/>
      <c r="D234" s="572"/>
      <c r="E234" s="545"/>
      <c r="F234" s="573"/>
      <c r="G234" s="572"/>
      <c r="H234" s="545"/>
      <c r="I234" s="547"/>
      <c r="J234" s="547"/>
      <c r="K234" s="525"/>
      <c r="L234" s="525"/>
      <c r="M234" s="525"/>
      <c r="N234" s="525"/>
      <c r="O234" s="525"/>
      <c r="P234" s="525"/>
      <c r="Q234" s="525"/>
      <c r="R234" s="525"/>
      <c r="S234" s="525"/>
      <c r="T234" s="525"/>
      <c r="U234" s="525"/>
      <c r="V234" s="525"/>
      <c r="W234" s="525"/>
      <c r="X234" s="525"/>
      <c r="Y234" s="525"/>
      <c r="Z234" s="525"/>
      <c r="AA234" s="525"/>
      <c r="AB234" s="525"/>
      <c r="AC234" s="525"/>
      <c r="AD234" s="525"/>
    </row>
    <row r="235" ht="15.75" customHeight="1">
      <c r="A235" s="571"/>
      <c r="B235" s="525"/>
      <c r="C235" s="545"/>
      <c r="D235" s="572"/>
      <c r="E235" s="545"/>
      <c r="F235" s="573"/>
      <c r="G235" s="572"/>
      <c r="H235" s="545"/>
      <c r="I235" s="547"/>
      <c r="J235" s="547"/>
      <c r="K235" s="525"/>
      <c r="L235" s="525"/>
      <c r="M235" s="525"/>
      <c r="N235" s="525"/>
      <c r="O235" s="525"/>
      <c r="P235" s="525"/>
      <c r="Q235" s="525"/>
      <c r="R235" s="525"/>
      <c r="S235" s="525"/>
      <c r="T235" s="525"/>
      <c r="U235" s="525"/>
      <c r="V235" s="525"/>
      <c r="W235" s="525"/>
      <c r="X235" s="525"/>
      <c r="Y235" s="525"/>
      <c r="Z235" s="525"/>
      <c r="AA235" s="525"/>
      <c r="AB235" s="525"/>
      <c r="AC235" s="525"/>
      <c r="AD235" s="525"/>
    </row>
    <row r="236" ht="15.75" customHeight="1">
      <c r="A236" s="571"/>
      <c r="B236" s="525"/>
      <c r="C236" s="545"/>
      <c r="D236" s="572"/>
      <c r="E236" s="545"/>
      <c r="F236" s="573"/>
      <c r="G236" s="572"/>
      <c r="H236" s="545"/>
      <c r="I236" s="547"/>
      <c r="J236" s="547"/>
      <c r="K236" s="525"/>
      <c r="L236" s="525"/>
      <c r="M236" s="525"/>
      <c r="N236" s="525"/>
      <c r="O236" s="525"/>
      <c r="P236" s="525"/>
      <c r="Q236" s="525"/>
      <c r="R236" s="525"/>
      <c r="S236" s="525"/>
      <c r="T236" s="525"/>
      <c r="U236" s="525"/>
      <c r="V236" s="525"/>
      <c r="W236" s="525"/>
      <c r="X236" s="525"/>
      <c r="Y236" s="525"/>
      <c r="Z236" s="525"/>
      <c r="AA236" s="525"/>
      <c r="AB236" s="525"/>
      <c r="AC236" s="525"/>
      <c r="AD236" s="525"/>
    </row>
    <row r="237" ht="15.75" customHeight="1">
      <c r="A237" s="571"/>
      <c r="B237" s="525"/>
      <c r="C237" s="545"/>
      <c r="D237" s="572"/>
      <c r="E237" s="545"/>
      <c r="F237" s="573"/>
      <c r="G237" s="572"/>
      <c r="H237" s="545"/>
      <c r="I237" s="547"/>
      <c r="J237" s="547"/>
      <c r="K237" s="525"/>
      <c r="L237" s="525"/>
      <c r="M237" s="525"/>
      <c r="N237" s="525"/>
      <c r="O237" s="525"/>
      <c r="P237" s="525"/>
      <c r="Q237" s="525"/>
      <c r="R237" s="525"/>
      <c r="S237" s="525"/>
      <c r="T237" s="525"/>
      <c r="U237" s="525"/>
      <c r="V237" s="525"/>
      <c r="W237" s="525"/>
      <c r="X237" s="525"/>
      <c r="Y237" s="525"/>
      <c r="Z237" s="525"/>
      <c r="AA237" s="525"/>
      <c r="AB237" s="525"/>
      <c r="AC237" s="525"/>
      <c r="AD237" s="525"/>
    </row>
    <row r="238" ht="15.75" customHeight="1">
      <c r="A238" s="571"/>
      <c r="B238" s="525"/>
      <c r="C238" s="545"/>
      <c r="D238" s="572"/>
      <c r="E238" s="545"/>
      <c r="F238" s="573"/>
      <c r="G238" s="572"/>
      <c r="H238" s="545"/>
      <c r="I238" s="547"/>
      <c r="J238" s="547"/>
      <c r="K238" s="525"/>
      <c r="L238" s="525"/>
      <c r="M238" s="525"/>
      <c r="N238" s="525"/>
      <c r="O238" s="525"/>
      <c r="P238" s="525"/>
      <c r="Q238" s="525"/>
      <c r="R238" s="525"/>
      <c r="S238" s="525"/>
      <c r="T238" s="525"/>
      <c r="U238" s="525"/>
      <c r="V238" s="525"/>
      <c r="W238" s="525"/>
      <c r="X238" s="525"/>
      <c r="Y238" s="525"/>
      <c r="Z238" s="525"/>
      <c r="AA238" s="525"/>
      <c r="AB238" s="525"/>
      <c r="AC238" s="525"/>
      <c r="AD238" s="525"/>
    </row>
    <row r="239" ht="15.75" customHeight="1">
      <c r="A239" s="571"/>
      <c r="B239" s="525"/>
      <c r="C239" s="545"/>
      <c r="D239" s="572"/>
      <c r="E239" s="545"/>
      <c r="F239" s="573"/>
      <c r="G239" s="572"/>
      <c r="H239" s="545"/>
      <c r="I239" s="547"/>
      <c r="J239" s="547"/>
      <c r="K239" s="525"/>
      <c r="L239" s="525"/>
      <c r="M239" s="525"/>
      <c r="N239" s="525"/>
      <c r="O239" s="525"/>
      <c r="P239" s="525"/>
      <c r="Q239" s="525"/>
      <c r="R239" s="525"/>
      <c r="S239" s="525"/>
      <c r="T239" s="525"/>
      <c r="U239" s="525"/>
      <c r="V239" s="525"/>
      <c r="W239" s="525"/>
      <c r="X239" s="525"/>
      <c r="Y239" s="525"/>
      <c r="Z239" s="525"/>
      <c r="AA239" s="525"/>
      <c r="AB239" s="525"/>
      <c r="AC239" s="525"/>
      <c r="AD239" s="525"/>
    </row>
    <row r="240" ht="15.75" customHeight="1">
      <c r="A240" s="571"/>
      <c r="B240" s="525"/>
      <c r="C240" s="545"/>
      <c r="D240" s="572"/>
      <c r="E240" s="545"/>
      <c r="F240" s="573"/>
      <c r="G240" s="572"/>
      <c r="H240" s="545"/>
      <c r="I240" s="547"/>
      <c r="J240" s="547"/>
      <c r="K240" s="525"/>
      <c r="L240" s="525"/>
      <c r="M240" s="525"/>
      <c r="N240" s="525"/>
      <c r="O240" s="525"/>
      <c r="P240" s="525"/>
      <c r="Q240" s="525"/>
      <c r="R240" s="525"/>
      <c r="S240" s="525"/>
      <c r="T240" s="525"/>
      <c r="U240" s="525"/>
      <c r="V240" s="525"/>
      <c r="W240" s="525"/>
      <c r="X240" s="525"/>
      <c r="Y240" s="525"/>
      <c r="Z240" s="525"/>
      <c r="AA240" s="525"/>
      <c r="AB240" s="525"/>
      <c r="AC240" s="525"/>
      <c r="AD240" s="525"/>
    </row>
    <row r="241" ht="15.75" customHeight="1">
      <c r="A241" s="571"/>
      <c r="B241" s="525"/>
      <c r="C241" s="545"/>
      <c r="D241" s="572"/>
      <c r="E241" s="545"/>
      <c r="F241" s="573"/>
      <c r="G241" s="572"/>
      <c r="H241" s="545"/>
      <c r="I241" s="547"/>
      <c r="J241" s="547"/>
      <c r="K241" s="525"/>
      <c r="L241" s="525"/>
      <c r="M241" s="525"/>
      <c r="N241" s="525"/>
      <c r="O241" s="525"/>
      <c r="P241" s="525"/>
      <c r="Q241" s="525"/>
      <c r="R241" s="525"/>
      <c r="S241" s="525"/>
      <c r="T241" s="525"/>
      <c r="U241" s="525"/>
      <c r="V241" s="525"/>
      <c r="W241" s="525"/>
      <c r="X241" s="525"/>
      <c r="Y241" s="525"/>
      <c r="Z241" s="525"/>
      <c r="AA241" s="525"/>
      <c r="AB241" s="525"/>
      <c r="AC241" s="525"/>
      <c r="AD241" s="525"/>
    </row>
    <row r="242" ht="15.75" customHeight="1">
      <c r="A242" s="571"/>
      <c r="B242" s="525"/>
      <c r="C242" s="545"/>
      <c r="D242" s="572"/>
      <c r="E242" s="545"/>
      <c r="F242" s="573"/>
      <c r="G242" s="572"/>
      <c r="H242" s="545"/>
      <c r="I242" s="547"/>
      <c r="J242" s="547"/>
      <c r="K242" s="525"/>
      <c r="L242" s="525"/>
      <c r="M242" s="525"/>
      <c r="N242" s="525"/>
      <c r="O242" s="525"/>
      <c r="P242" s="525"/>
      <c r="Q242" s="525"/>
      <c r="R242" s="525"/>
      <c r="S242" s="525"/>
      <c r="T242" s="525"/>
      <c r="U242" s="525"/>
      <c r="V242" s="525"/>
      <c r="W242" s="525"/>
      <c r="X242" s="525"/>
      <c r="Y242" s="525"/>
      <c r="Z242" s="525"/>
      <c r="AA242" s="525"/>
      <c r="AB242" s="525"/>
      <c r="AC242" s="525"/>
      <c r="AD242" s="525"/>
    </row>
    <row r="243" ht="15.75" customHeight="1">
      <c r="A243" s="571"/>
      <c r="B243" s="525"/>
      <c r="C243" s="545"/>
      <c r="D243" s="572"/>
      <c r="E243" s="545"/>
      <c r="F243" s="573"/>
      <c r="G243" s="572"/>
      <c r="H243" s="545"/>
      <c r="I243" s="547"/>
      <c r="J243" s="547"/>
      <c r="K243" s="525"/>
      <c r="L243" s="525"/>
      <c r="M243" s="525"/>
      <c r="N243" s="525"/>
      <c r="O243" s="525"/>
      <c r="P243" s="525"/>
      <c r="Q243" s="525"/>
      <c r="R243" s="525"/>
      <c r="S243" s="525"/>
      <c r="T243" s="525"/>
      <c r="U243" s="525"/>
      <c r="V243" s="525"/>
      <c r="W243" s="525"/>
      <c r="X243" s="525"/>
      <c r="Y243" s="525"/>
      <c r="Z243" s="525"/>
      <c r="AA243" s="525"/>
      <c r="AB243" s="525"/>
      <c r="AC243" s="525"/>
      <c r="AD243" s="525"/>
    </row>
    <row r="244" ht="15.75" customHeight="1">
      <c r="A244" s="571"/>
      <c r="B244" s="525"/>
      <c r="C244" s="545"/>
      <c r="D244" s="572"/>
      <c r="E244" s="545"/>
      <c r="F244" s="573"/>
      <c r="G244" s="572"/>
      <c r="H244" s="545"/>
      <c r="I244" s="547"/>
      <c r="J244" s="547"/>
      <c r="K244" s="525"/>
      <c r="L244" s="525"/>
      <c r="M244" s="525"/>
      <c r="N244" s="525"/>
      <c r="O244" s="525"/>
      <c r="P244" s="525"/>
      <c r="Q244" s="525"/>
      <c r="R244" s="525"/>
      <c r="S244" s="525"/>
      <c r="T244" s="525"/>
      <c r="U244" s="525"/>
      <c r="V244" s="525"/>
      <c r="W244" s="525"/>
      <c r="X244" s="525"/>
      <c r="Y244" s="525"/>
      <c r="Z244" s="525"/>
      <c r="AA244" s="525"/>
      <c r="AB244" s="525"/>
      <c r="AC244" s="525"/>
      <c r="AD244" s="525"/>
    </row>
    <row r="245" ht="15.75" customHeight="1">
      <c r="A245" s="571"/>
      <c r="B245" s="525"/>
      <c r="C245" s="545"/>
      <c r="D245" s="572"/>
      <c r="E245" s="545"/>
      <c r="F245" s="573"/>
      <c r="G245" s="572"/>
      <c r="H245" s="545"/>
      <c r="I245" s="547"/>
      <c r="J245" s="547"/>
      <c r="K245" s="525"/>
      <c r="L245" s="525"/>
      <c r="M245" s="525"/>
      <c r="N245" s="525"/>
      <c r="O245" s="525"/>
      <c r="P245" s="525"/>
      <c r="Q245" s="525"/>
      <c r="R245" s="525"/>
      <c r="S245" s="525"/>
      <c r="T245" s="525"/>
      <c r="U245" s="525"/>
      <c r="V245" s="525"/>
      <c r="W245" s="525"/>
      <c r="X245" s="525"/>
      <c r="Y245" s="525"/>
      <c r="Z245" s="525"/>
      <c r="AA245" s="525"/>
      <c r="AB245" s="525"/>
      <c r="AC245" s="525"/>
      <c r="AD245" s="525"/>
    </row>
    <row r="246" ht="15.75" customHeight="1">
      <c r="A246" s="571"/>
      <c r="B246" s="525"/>
      <c r="C246" s="545"/>
      <c r="D246" s="572"/>
      <c r="E246" s="545"/>
      <c r="F246" s="573"/>
      <c r="G246" s="572"/>
      <c r="H246" s="545"/>
      <c r="I246" s="547"/>
      <c r="J246" s="547"/>
      <c r="K246" s="525"/>
      <c r="L246" s="525"/>
      <c r="M246" s="525"/>
      <c r="N246" s="525"/>
      <c r="O246" s="525"/>
      <c r="P246" s="525"/>
      <c r="Q246" s="525"/>
      <c r="R246" s="525"/>
      <c r="S246" s="525"/>
      <c r="T246" s="525"/>
      <c r="U246" s="525"/>
      <c r="V246" s="525"/>
      <c r="W246" s="525"/>
      <c r="X246" s="525"/>
      <c r="Y246" s="525"/>
      <c r="Z246" s="525"/>
      <c r="AA246" s="525"/>
      <c r="AB246" s="525"/>
      <c r="AC246" s="525"/>
      <c r="AD246" s="525"/>
    </row>
    <row r="247" ht="15.75" customHeight="1">
      <c r="A247" s="571"/>
      <c r="B247" s="525"/>
      <c r="C247" s="545"/>
      <c r="D247" s="572"/>
      <c r="E247" s="545"/>
      <c r="F247" s="573"/>
      <c r="G247" s="572"/>
      <c r="H247" s="545"/>
      <c r="I247" s="547"/>
      <c r="J247" s="547"/>
      <c r="K247" s="525"/>
      <c r="L247" s="525"/>
      <c r="M247" s="525"/>
      <c r="N247" s="525"/>
      <c r="O247" s="525"/>
      <c r="P247" s="525"/>
      <c r="Q247" s="525"/>
      <c r="R247" s="525"/>
      <c r="S247" s="525"/>
      <c r="T247" s="525"/>
      <c r="U247" s="525"/>
      <c r="V247" s="525"/>
      <c r="W247" s="525"/>
      <c r="X247" s="525"/>
      <c r="Y247" s="525"/>
      <c r="Z247" s="525"/>
      <c r="AA247" s="525"/>
      <c r="AB247" s="525"/>
      <c r="AC247" s="525"/>
      <c r="AD247" s="525"/>
    </row>
    <row r="248" ht="15.75" customHeight="1">
      <c r="A248" s="571"/>
      <c r="B248" s="525"/>
      <c r="C248" s="545"/>
      <c r="D248" s="572"/>
      <c r="E248" s="545"/>
      <c r="F248" s="573"/>
      <c r="G248" s="572"/>
      <c r="H248" s="545"/>
      <c r="I248" s="547"/>
      <c r="J248" s="547"/>
      <c r="K248" s="525"/>
      <c r="L248" s="525"/>
      <c r="M248" s="525"/>
      <c r="N248" s="525"/>
      <c r="O248" s="525"/>
      <c r="P248" s="525"/>
      <c r="Q248" s="525"/>
      <c r="R248" s="525"/>
      <c r="S248" s="525"/>
      <c r="T248" s="525"/>
      <c r="U248" s="525"/>
      <c r="V248" s="525"/>
      <c r="W248" s="525"/>
      <c r="X248" s="525"/>
      <c r="Y248" s="525"/>
      <c r="Z248" s="525"/>
      <c r="AA248" s="525"/>
      <c r="AB248" s="525"/>
      <c r="AC248" s="525"/>
      <c r="AD248" s="525"/>
    </row>
    <row r="249" ht="15.75" customHeight="1">
      <c r="A249" s="571"/>
      <c r="B249" s="525"/>
      <c r="C249" s="545"/>
      <c r="D249" s="572"/>
      <c r="E249" s="545"/>
      <c r="F249" s="573"/>
      <c r="G249" s="572"/>
      <c r="H249" s="545"/>
      <c r="I249" s="547"/>
      <c r="J249" s="547"/>
      <c r="K249" s="525"/>
      <c r="L249" s="525"/>
      <c r="M249" s="525"/>
      <c r="N249" s="525"/>
      <c r="O249" s="525"/>
      <c r="P249" s="525"/>
      <c r="Q249" s="525"/>
      <c r="R249" s="525"/>
      <c r="S249" s="525"/>
      <c r="T249" s="525"/>
      <c r="U249" s="525"/>
      <c r="V249" s="525"/>
      <c r="W249" s="525"/>
      <c r="X249" s="525"/>
      <c r="Y249" s="525"/>
      <c r="Z249" s="525"/>
      <c r="AA249" s="525"/>
      <c r="AB249" s="525"/>
      <c r="AC249" s="525"/>
      <c r="AD249" s="525"/>
    </row>
    <row r="250" ht="15.75" customHeight="1">
      <c r="A250" s="571"/>
      <c r="B250" s="525"/>
      <c r="C250" s="545"/>
      <c r="D250" s="572"/>
      <c r="E250" s="545"/>
      <c r="F250" s="573"/>
      <c r="G250" s="572"/>
      <c r="H250" s="545"/>
      <c r="I250" s="547"/>
      <c r="J250" s="547"/>
      <c r="K250" s="525"/>
      <c r="L250" s="525"/>
      <c r="M250" s="525"/>
      <c r="N250" s="525"/>
      <c r="O250" s="525"/>
      <c r="P250" s="525"/>
      <c r="Q250" s="525"/>
      <c r="R250" s="525"/>
      <c r="S250" s="525"/>
      <c r="T250" s="525"/>
      <c r="U250" s="525"/>
      <c r="V250" s="525"/>
      <c r="W250" s="525"/>
      <c r="X250" s="525"/>
      <c r="Y250" s="525"/>
      <c r="Z250" s="525"/>
      <c r="AA250" s="525"/>
      <c r="AB250" s="525"/>
      <c r="AC250" s="525"/>
      <c r="AD250" s="525"/>
    </row>
    <row r="251" ht="15.75" customHeight="1">
      <c r="A251" s="571"/>
      <c r="B251" s="525"/>
      <c r="C251" s="545"/>
      <c r="D251" s="572"/>
      <c r="E251" s="545"/>
      <c r="F251" s="573"/>
      <c r="G251" s="572"/>
      <c r="H251" s="545"/>
      <c r="I251" s="547"/>
      <c r="J251" s="547"/>
      <c r="K251" s="525"/>
      <c r="L251" s="525"/>
      <c r="M251" s="525"/>
      <c r="N251" s="525"/>
      <c r="O251" s="525"/>
      <c r="P251" s="525"/>
      <c r="Q251" s="525"/>
      <c r="R251" s="525"/>
      <c r="S251" s="525"/>
      <c r="T251" s="525"/>
      <c r="U251" s="525"/>
      <c r="V251" s="525"/>
      <c r="W251" s="525"/>
      <c r="X251" s="525"/>
      <c r="Y251" s="525"/>
      <c r="Z251" s="525"/>
      <c r="AA251" s="525"/>
      <c r="AB251" s="525"/>
      <c r="AC251" s="525"/>
      <c r="AD251" s="525"/>
    </row>
    <row r="252" ht="15.75" customHeight="1">
      <c r="A252" s="571"/>
      <c r="B252" s="525"/>
      <c r="C252" s="545"/>
      <c r="D252" s="572"/>
      <c r="E252" s="545"/>
      <c r="F252" s="573"/>
      <c r="G252" s="572"/>
      <c r="H252" s="545"/>
      <c r="I252" s="547"/>
      <c r="J252" s="547"/>
      <c r="K252" s="525"/>
      <c r="L252" s="525"/>
      <c r="M252" s="525"/>
      <c r="N252" s="525"/>
      <c r="O252" s="525"/>
      <c r="P252" s="525"/>
      <c r="Q252" s="525"/>
      <c r="R252" s="525"/>
      <c r="S252" s="525"/>
      <c r="T252" s="525"/>
      <c r="U252" s="525"/>
      <c r="V252" s="525"/>
      <c r="W252" s="525"/>
      <c r="X252" s="525"/>
      <c r="Y252" s="525"/>
      <c r="Z252" s="525"/>
      <c r="AA252" s="525"/>
      <c r="AB252" s="525"/>
      <c r="AC252" s="525"/>
      <c r="AD252" s="525"/>
    </row>
    <row r="253" ht="15.75" customHeight="1">
      <c r="A253" s="571"/>
      <c r="B253" s="525"/>
      <c r="C253" s="545"/>
      <c r="D253" s="572"/>
      <c r="E253" s="545"/>
      <c r="F253" s="573"/>
      <c r="G253" s="572"/>
      <c r="H253" s="545"/>
      <c r="I253" s="547"/>
      <c r="J253" s="547"/>
      <c r="K253" s="525"/>
      <c r="L253" s="525"/>
      <c r="M253" s="525"/>
      <c r="N253" s="525"/>
      <c r="O253" s="525"/>
      <c r="P253" s="525"/>
      <c r="Q253" s="525"/>
      <c r="R253" s="525"/>
      <c r="S253" s="525"/>
      <c r="T253" s="525"/>
      <c r="U253" s="525"/>
      <c r="V253" s="525"/>
      <c r="W253" s="525"/>
      <c r="X253" s="525"/>
      <c r="Y253" s="525"/>
      <c r="Z253" s="525"/>
      <c r="AA253" s="525"/>
      <c r="AB253" s="525"/>
      <c r="AC253" s="525"/>
      <c r="AD253" s="52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mergeCells count="75">
    <mergeCell ref="T26:U26"/>
    <mergeCell ref="V26:W26"/>
    <mergeCell ref="X26:Y26"/>
    <mergeCell ref="Z26:AA26"/>
    <mergeCell ref="AB26:AC26"/>
    <mergeCell ref="A26:B26"/>
    <mergeCell ref="E26:F26"/>
    <mergeCell ref="I26:J26"/>
    <mergeCell ref="L26:M26"/>
    <mergeCell ref="N26:O26"/>
    <mergeCell ref="P26:Q26"/>
    <mergeCell ref="R26:S26"/>
    <mergeCell ref="T36:U36"/>
    <mergeCell ref="V36:W36"/>
    <mergeCell ref="X36:Y36"/>
    <mergeCell ref="Z36:AA36"/>
    <mergeCell ref="AB36:AC36"/>
    <mergeCell ref="A36:B36"/>
    <mergeCell ref="I36:J36"/>
    <mergeCell ref="L36:M36"/>
    <mergeCell ref="N36:O36"/>
    <mergeCell ref="P36:Q36"/>
    <mergeCell ref="R36:S36"/>
    <mergeCell ref="A37:B37"/>
    <mergeCell ref="N14:O14"/>
    <mergeCell ref="P14:Q14"/>
    <mergeCell ref="R14:S14"/>
    <mergeCell ref="T14:U14"/>
    <mergeCell ref="V14:W14"/>
    <mergeCell ref="X14:Y14"/>
    <mergeCell ref="Z14:AA14"/>
    <mergeCell ref="AB14:AC14"/>
    <mergeCell ref="A1:B1"/>
    <mergeCell ref="G1:H1"/>
    <mergeCell ref="A2:B2"/>
    <mergeCell ref="A14:B14"/>
    <mergeCell ref="E14:F14"/>
    <mergeCell ref="I14:J14"/>
    <mergeCell ref="L14:M14"/>
    <mergeCell ref="T20:U20"/>
    <mergeCell ref="V20:W20"/>
    <mergeCell ref="X20:Y20"/>
    <mergeCell ref="Z20:AA20"/>
    <mergeCell ref="AB20:AC20"/>
    <mergeCell ref="A20:B20"/>
    <mergeCell ref="E20:F20"/>
    <mergeCell ref="I20:J20"/>
    <mergeCell ref="L20:M20"/>
    <mergeCell ref="N20:O20"/>
    <mergeCell ref="P20:Q20"/>
    <mergeCell ref="R20:S20"/>
    <mergeCell ref="T23:U23"/>
    <mergeCell ref="V23:W23"/>
    <mergeCell ref="X23:Y23"/>
    <mergeCell ref="Z23:AA23"/>
    <mergeCell ref="AB23:AC23"/>
    <mergeCell ref="A23:B23"/>
    <mergeCell ref="E23:F23"/>
    <mergeCell ref="I23:J23"/>
    <mergeCell ref="L23:M23"/>
    <mergeCell ref="N23:O23"/>
    <mergeCell ref="P23:Q23"/>
    <mergeCell ref="R23:S23"/>
    <mergeCell ref="T52:U52"/>
    <mergeCell ref="V52:W52"/>
    <mergeCell ref="X52:Y52"/>
    <mergeCell ref="Z52:AA52"/>
    <mergeCell ref="AB52:AC52"/>
    <mergeCell ref="E36:F36"/>
    <mergeCell ref="E52:F52"/>
    <mergeCell ref="I52:J52"/>
    <mergeCell ref="L52:M52"/>
    <mergeCell ref="N52:O52"/>
    <mergeCell ref="P52:Q52"/>
    <mergeCell ref="R52:S52"/>
  </mergeCells>
  <conditionalFormatting sqref="J1 J4:J10 J15:J16 J21 J24 J29:J30 J53:J983">
    <cfRule type="expression" dxfId="0" priority="1">
      <formula>AND(ISNUMBER(J1),TRUNC(J1)&lt;TODAY())</formula>
    </cfRule>
  </conditionalFormatting>
  <conditionalFormatting sqref="J1 J4:J12 J14:J18 J21 J23:J24 J27:J32 J53:J983">
    <cfRule type="expression" dxfId="0" priority="2">
      <formula>J1&lt;43524</formula>
    </cfRule>
  </conditionalFormatting>
  <drawing r:id="rId1"/>
</worksheet>
</file>